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60" windowWidth="16380" windowHeight="8136" tabRatio="581"/>
  </bookViews>
  <sheets>
    <sheet name="The Text" sheetId="1" r:id="rId1"/>
    <sheet name="Planetary Tables" sheetId="6" r:id="rId2"/>
    <sheet name="Tables" sheetId="3" r:id="rId3"/>
  </sheets>
  <definedNames>
    <definedName name="accumulated.days">'The Text'!$I$281</definedName>
    <definedName name="accumulated.months">'The Text'!$I$249</definedName>
    <definedName name="big.month.days">'Planetary Tables'!$AJ$9:$AJ$38</definedName>
    <definedName name="Buhui.Head">'The Text'!$L$180</definedName>
    <definedName name="buyue">'The Text'!$E$151</definedName>
    <definedName name="current.year">'The Text'!$D$29</definedName>
    <definedName name="earth.era.names">Tables!$AC$4:$AC$23</definedName>
    <definedName name="earth.era.numbers">Tables!$AD$4:$AD$23</definedName>
    <definedName name="eclipse.epoch">'The Text'!$L$171</definedName>
    <definedName name="eclipse.jiyue">'The Text'!$G$1026:$G$1030</definedName>
    <definedName name="eclipse.month">'The Text'!$D$1026:$D$1030</definedName>
    <definedName name="eclipse.number">'The Text'!$B$1026:$B$1030</definedName>
    <definedName name="eclipse.year">'The Text'!$C$1026:$C$1030</definedName>
    <definedName name="Entered.year">'The Text'!#REF!</definedName>
    <definedName name="Epochal.day.number">'The Text'!#REF!</definedName>
    <definedName name="Epochal.year">'The Text'!$D$18</definedName>
    <definedName name="Epochal.year.number">'The Text'!#REF!</definedName>
    <definedName name="Era.Julian.Date">'The Text'!$K$190</definedName>
    <definedName name="Han.Solar.table.day.marks">Tables!$Q$4:$Q$27</definedName>
    <definedName name="Han.Solar.table.night.marks">Tables!$R$4:$R$27</definedName>
    <definedName name="Han.Solar.table.qi.names">Tables!$H$4:$H$27</definedName>
    <definedName name="heaven.era.names">Tables!$AA$4:$AA$23</definedName>
    <definedName name="heaven.era.numbers">Tables!$AB$4:$AB$23</definedName>
    <definedName name="Hexagram.Julian.days">'The Text'!$D$399:$D$674</definedName>
    <definedName name="Hexagram.names">'The Text'!$B$399:$B$674</definedName>
    <definedName name="High.Origin.Julian.Day">'The Text'!$D$35</definedName>
    <definedName name="High.origin.year">'The Text'!$D$25</definedName>
    <definedName name="Huo.hejiyue">'The Text'!$E$1174</definedName>
    <definedName name="Huo.ridufa">'The Text'!$E$1187</definedName>
    <definedName name="Huo.yuefa">'The Text'!#REF!</definedName>
    <definedName name="Huo.yueyu">'The Text'!$E$1175</definedName>
    <definedName name="Huo.yueyu.accumulated">'The Text'!#REF!</definedName>
    <definedName name="JD.era.head">'The Text'!$L$163</definedName>
    <definedName name="JD.high.origin">'The Text'!$D$28</definedName>
    <definedName name="JD.new.moon">'The Text'!$K$234</definedName>
    <definedName name="JD.obscuration.coincidence.head">'The Text'!#REF!</definedName>
    <definedName name="JD.obscuration.head">'The Text'!#REF!</definedName>
    <definedName name="JD.offset">'The Text'!$D$20</definedName>
    <definedName name="JD.origin">'The Text'!#REF!</definedName>
    <definedName name="JD.winter.solstice">'The Text'!$K$285</definedName>
    <definedName name="jin.hejiyue">'The Text'!$E$1218</definedName>
    <definedName name="jin.ridufa">'The Text'!$E$1225</definedName>
    <definedName name="jin.yuefa">'The Text'!$E$1220</definedName>
    <definedName name="jin.yueyu">'The Text'!$E$1219</definedName>
    <definedName name="jin.yueyu.accumulated">'The Text'!#REF!</definedName>
    <definedName name="Jupiter.days.since.conjunction">'The Text'!$K$1481:$K$1489</definedName>
    <definedName name="Jupiter.du.since.conjunction">'The Text'!$L$1481:$L$1489</definedName>
    <definedName name="Jupiter.hidden.day.parts">'The Text'!$C$1493</definedName>
    <definedName name="Jupiter.hidden.du.parts">'The Text'!$D$1493</definedName>
    <definedName name="Jupiter.phase.name">'The Text'!$B$1481:$B$1489</definedName>
    <definedName name="Jupiter.phase.number">'The Text'!$A$1481:$A$1489</definedName>
    <definedName name="Jupiter.table.accumulated.days">'Planetary Tables'!$P$10:$P$12</definedName>
    <definedName name="Jupiter.table.accumulated.days.remainder">'Planetary Tables'!$Q$10:$Q$12</definedName>
    <definedName name="Jupiter.table.day">'Planetary Tables'!$V$10:$V$12</definedName>
    <definedName name="Jupiter.table.day.remainder">'Planetary Tables'!$U$10:$U$12</definedName>
    <definedName name="Jupiter.table.dipper.du">'Planetary Tables'!$AA$10:$AA$12</definedName>
    <definedName name="Jupiter.table.dipper.du.parts">'Planetary Tables'!$AB$10:$AB$12</definedName>
    <definedName name="Jupiter.table.du">'Planetary Tables'!$AD$10:$AD$12</definedName>
    <definedName name="Jupiter.table.du.parts">'Planetary Tables'!$AE$10:$AE$12</definedName>
    <definedName name="Jupiter.table.lodge">'Planetary Tables'!$AC$10:$AC$12</definedName>
    <definedName name="Jupiter.table.month">'Planetary Tables'!$O$10:$O$12</definedName>
    <definedName name="Jupiter.table.number">'Planetary Tables'!$A$10:$A$12</definedName>
    <definedName name="Jupiter.table.total.accumulated.days">'Planetary Tables'!$AG$10:$AG$12</definedName>
    <definedName name="Jupiter.table.year">'Planetary Tables'!$E$10:$E$12</definedName>
    <definedName name="Jupiter.velocity.denominator">'The Text'!$H$1481:$H$1489</definedName>
    <definedName name="Jupiter.velocity.divisor">'The Text'!$I$1481:$I$1489</definedName>
    <definedName name="Jupiter.visible.day.parts">'The Text'!$C$1494</definedName>
    <definedName name="Jupiter.visible.du.parts">'The Text'!$D$1494</definedName>
    <definedName name="Jupiter.VP.JD">#REF!</definedName>
    <definedName name="Jupiter.VP.lodge">#REF!</definedName>
    <definedName name="Jupiter.VP.lodge.du">#REF!</definedName>
    <definedName name="Jupiter.VP.lodge.fen">#REF!</definedName>
    <definedName name="Jupiter.VP.name">#REF!</definedName>
    <definedName name="Jupiter.VP.ox.du">#REF!</definedName>
    <definedName name="lodge.dipper.du">Tables!$E$4:$E$31</definedName>
    <definedName name="lodge.jintui">Tables!$F$4:$F$31</definedName>
    <definedName name="lodge.names">Tables!$C$4:$C$31</definedName>
    <definedName name="lodge.ox.du">"$#REF!.$E$3:$E$31"</definedName>
    <definedName name="lodge.RA.lunar">'The Text'!$K$1783:$K$1810</definedName>
    <definedName name="lodge.RA.solar">'The Text'!$J$1783:$J$1810</definedName>
    <definedName name="lunar.table.civil.month">'The Text'!$V$347:$V$398</definedName>
    <definedName name="lunar.table.civil.months">'The Text'!$AD$199:$AD$239</definedName>
    <definedName name="lunar.table.days">'The Text'!$T$347:$T$398</definedName>
    <definedName name="lunar.table.hours">'The Text'!#REF!</definedName>
    <definedName name="lunar.table.phenomena">'The Text'!$U$347:$U$398</definedName>
    <definedName name="magic.number">'The Text'!#REF!</definedName>
    <definedName name="man.era.names">Tables!$AE$4:$AE$23</definedName>
    <definedName name="man.era.numbers">Tables!$AF$4:$AF$23</definedName>
    <definedName name="Mars.days.since.conjunction">'The Text'!$K$1499:$K$1507</definedName>
    <definedName name="Mars.du.since.conjunction">'The Text'!$L$1499:$L$1507</definedName>
    <definedName name="Mars.hidden.day.parts">'The Text'!$C$1511</definedName>
    <definedName name="Mars.hidden.du.parts">'The Text'!$D$1511</definedName>
    <definedName name="Mars.phase.name">'The Text'!$B$1499:$B$1507</definedName>
    <definedName name="Mars.phase.number">'The Text'!$A$1499:$A$1507</definedName>
    <definedName name="Mars.table.accumulated.days">'Planetary Tables'!$P$18:$P$20</definedName>
    <definedName name="Mars.table.accumulated.days.remainder">'Planetary Tables'!$Q$18:$Q$20</definedName>
    <definedName name="Mars.table.day">'Planetary Tables'!$V$18:$V$20</definedName>
    <definedName name="Mars.table.day.remainder">'Planetary Tables'!$U$18:$U$20</definedName>
    <definedName name="Mars.table.dipper.du">'Planetary Tables'!$AA$18:$AA$20</definedName>
    <definedName name="Mars.table.dipper.du.parts">'Planetary Tables'!$AB$18:$AB$20</definedName>
    <definedName name="Mars.table.du">'Planetary Tables'!$AD$18:$AD$20</definedName>
    <definedName name="Mars.table.du.parts">'Planetary Tables'!$AE$18:$AE$20</definedName>
    <definedName name="Mars.table.lodge">'Planetary Tables'!$AC$18:$AC$20</definedName>
    <definedName name="Mars.table.month">'Planetary Tables'!$O$18:$O$20</definedName>
    <definedName name="Mars.table.number">'Planetary Tables'!$A$18:$A$20</definedName>
    <definedName name="Mars.table.total.accumulated.days">'Planetary Tables'!$AG$18:$AG$20</definedName>
    <definedName name="Mars.table.year">'Planetary Tables'!$E$18:$E$20</definedName>
    <definedName name="Mars.velocity.denominator">'The Text'!$H$1499:$H$1507</definedName>
    <definedName name="Mars.velocity.divisor">'The Text'!$I$1499:$I$1507</definedName>
    <definedName name="Mars.visible.day.parts">'The Text'!$C$1512</definedName>
    <definedName name="Mars.visible.du.parts">'The Text'!$D$1512</definedName>
    <definedName name="Mars.VP.JD">#REF!</definedName>
    <definedName name="Mars.VP.lodge">#REF!</definedName>
    <definedName name="Mars.VP.lodge.du">#REF!</definedName>
    <definedName name="Mars.VP.lodge.fen">#REF!</definedName>
    <definedName name="Mars.VP.name">#REF!</definedName>
    <definedName name="Mars.VP.ox.du">#REF!</definedName>
    <definedName name="mean_lunation">'The Text'!$E$48</definedName>
    <definedName name="mean_solar_year">'The Text'!$E$47</definedName>
    <definedName name="medial_qi">'The Text'!$E$57</definedName>
    <definedName name="Mercury.days.since.conjunction">'The Text'!$K$1561:$K$1572</definedName>
    <definedName name="Mercury.days.since.conjunction.evening">'The Text'!$K$1567:$K$1572</definedName>
    <definedName name="Mercury.days.since.conjunction.morning">'The Text'!$K$1561:$K$1566</definedName>
    <definedName name="Mercury.du.since.conjunction">'The Text'!$L$1561:$L$1572</definedName>
    <definedName name="Mercury.du.since.conjunction.evening">'The Text'!$L$1567:$L$1572</definedName>
    <definedName name="Mercury.du.since.conjunction.morning">'The Text'!$L$1561:$L$1566</definedName>
    <definedName name="Mercury.IC.hidden.day.parts">'The Text'!$C$1576</definedName>
    <definedName name="Mercury.IC.hidden.du.parts">'The Text'!$D$1576</definedName>
    <definedName name="Mercury.phase.name">'The Text'!$B$1561:$B$1572</definedName>
    <definedName name="Mercury.phase.number">'The Text'!$A$1561:$A$1572</definedName>
    <definedName name="Mercury.SC.hidden.day.parts">'The Text'!$C$1578</definedName>
    <definedName name="Mercury.SC.hidden.du.parts">'The Text'!$D$1578</definedName>
    <definedName name="Mercury.table.accumulated.days">'Planetary Tables'!$P$45:$P$54</definedName>
    <definedName name="Mercury.table.accumulated.days.remainder">'Planetary Tables'!$Q$45:$Q$54</definedName>
    <definedName name="Mercury.table.day">'Planetary Tables'!$V$45:$V$54</definedName>
    <definedName name="Mercury.table.day.remainder">'Planetary Tables'!$U$45:$U$54</definedName>
    <definedName name="Mercury.table.dipper.du">'Planetary Tables'!$AA$45:$AA$54</definedName>
    <definedName name="Mercury.table.dipper.du.parts">'Planetary Tables'!$AB$45:$AB$54</definedName>
    <definedName name="Mercury.table.du">'Planetary Tables'!$AD$45:$AD$54</definedName>
    <definedName name="Mercury.table.du.parts">'Planetary Tables'!$AE$45:$AE$54</definedName>
    <definedName name="Mercury.table.lodge">'Planetary Tables'!$AC$45:$AC$54</definedName>
    <definedName name="Mercury.table.month">'Planetary Tables'!$O$45:$O$54</definedName>
    <definedName name="Mercury.table.number">'Planetary Tables'!$A$45:$A$54</definedName>
    <definedName name="Mercury.table.side">'Planetary Tables'!$G$45:$G$54</definedName>
    <definedName name="Mercury.table.total.accumulated.days">'Planetary Tables'!$AG$45:$AG$54</definedName>
    <definedName name="Mercury.table.year">'Planetary Tables'!$E$45:$E$54</definedName>
    <definedName name="Mercury.velocity.denominator">'The Text'!$H$1561:$H$1572</definedName>
    <definedName name="Mercury.velocity.divisor">'The Text'!$I$1561:$I$1572</definedName>
    <definedName name="Mercury.visible.day.parts">'The Text'!$C$1577</definedName>
    <definedName name="Mercury.visible.du.parts">'The Text'!$D$1577</definedName>
    <definedName name="Mercury.VP.JD">#REF!</definedName>
    <definedName name="Mercury.VP.lodge">#REF!</definedName>
    <definedName name="Mercury.VP.lodge.du">#REF!</definedName>
    <definedName name="Mercury.VP.lodge.fen">#REF!</definedName>
    <definedName name="Mercury.VP.name">#REF!</definedName>
    <definedName name="Mercury.VP.ox.du">#REF!</definedName>
    <definedName name="moshu">'The Text'!$E$157</definedName>
    <definedName name="mu.dayu">'The Text'!$E$1158</definedName>
    <definedName name="mu.duyu.accumulated">'The Text'!$J$1498</definedName>
    <definedName name="mu.hejiyue">'The Text'!$E$1154</definedName>
    <definedName name="mu.jidu.accumulated">'The Text'!$I$1498</definedName>
    <definedName name="mu.ridufa">'The Text'!$E$1164</definedName>
    <definedName name="mu.xiaoyu">'The Text'!$E$1159</definedName>
    <definedName name="mu.yuefa">'The Text'!$E$1156</definedName>
    <definedName name="mu.yueyu">'The Text'!$E$1155</definedName>
    <definedName name="mu.yueyu.accumulated">'The Text'!#REF!</definedName>
    <definedName name="mu.zhoulv">'The Text'!$E$1151</definedName>
    <definedName name="obscuration.head.numbers">Tables!$AH$4:$AH$23</definedName>
    <definedName name="obscuration.heads">Tables!$AG$4:$AG$23</definedName>
    <definedName name="rifa">'The Text'!$E$155</definedName>
    <definedName name="Saturn.days.since.conjunction">'The Text'!$K$1517:$K$1523</definedName>
    <definedName name="Saturn.du.since.conjunction">'The Text'!$L$1517:$L$1523</definedName>
    <definedName name="Saturn.hidden.day.parts">'The Text'!$C$1527</definedName>
    <definedName name="Saturn.hidden.du.parts">'The Text'!$D$1527</definedName>
    <definedName name="Saturn.phase.name">'The Text'!$B$1517:$B$1523</definedName>
    <definedName name="Saturn.phase.number">'The Text'!$A$1517:$A$1523</definedName>
    <definedName name="Saturn.table.accumulated.days">'Planetary Tables'!$P$26:$P$28</definedName>
    <definedName name="Saturn.table.accumulated.days.remainder">'Planetary Tables'!$Q$26:$Q$28</definedName>
    <definedName name="Saturn.table.day">'Planetary Tables'!$V$26:$V$28</definedName>
    <definedName name="Saturn.table.day.remainder">'Planetary Tables'!$U$26:$U$28</definedName>
    <definedName name="Saturn.table.dipper.du">'Planetary Tables'!$AA$26:$AA$28</definedName>
    <definedName name="Saturn.table.dipper.du.parts">'Planetary Tables'!$AB$26:$AB$28</definedName>
    <definedName name="Saturn.table.du">'Planetary Tables'!$AD$26:$AD$28</definedName>
    <definedName name="Saturn.table.du.parts">'Planetary Tables'!$AE$26:$AE$28</definedName>
    <definedName name="Saturn.table.lodge">'Planetary Tables'!$AC$26:$AC$28</definedName>
    <definedName name="Saturn.table.month">'Planetary Tables'!$O$26:$O$28</definedName>
    <definedName name="Saturn.table.number">'Planetary Tables'!$A$26:$A$28</definedName>
    <definedName name="Saturn.table.total.accumulated.days">'Planetary Tables'!$AG$26:$AG$28</definedName>
    <definedName name="Saturn.table.year">'Planetary Tables'!$E$26:$E$28</definedName>
    <definedName name="Saturn.velocity.denominator">'The Text'!$H$1517:$H$1523</definedName>
    <definedName name="Saturn.velocity.divisor">'The Text'!$I$1517:$I$1523</definedName>
    <definedName name="Saturn.visible.day.parts">'The Text'!$C$1528</definedName>
    <definedName name="Saturn.visible.du.parts">'The Text'!$D$1528</definedName>
    <definedName name="Saturn.VP.JD">#REF!</definedName>
    <definedName name="Saturn.VP.lodge">#REF!</definedName>
    <definedName name="Saturn.VP.lodge.du">#REF!</definedName>
    <definedName name="Saturn.VP.lodge.fen">#REF!</definedName>
    <definedName name="Saturn.VP.name">#REF!</definedName>
    <definedName name="Saturn.VP.ox.du">#REF!</definedName>
    <definedName name="shui.hejiyue">'The Text'!#REF!</definedName>
    <definedName name="shui.ridufa">'The Text'!#REF!</definedName>
    <definedName name="shui.yuefa">'The Text'!#REF!</definedName>
    <definedName name="shui.yueyu">'The Text'!#REF!</definedName>
    <definedName name="shui.yueyu.accumulated">'The Text'!#REF!</definedName>
    <definedName name="small.month.days">'Planetary Tables'!$AJ$9:$AJ$37</definedName>
    <definedName name="Solar.table.day">'The Text'!$K$310:$K$315</definedName>
    <definedName name="Solar.table.day.marks">Tables!$Q$4:$Q$27</definedName>
    <definedName name="Solar.table.JD">'The Text'!$D$310:$D$315</definedName>
    <definedName name="Solar.table.names">'The Text'!$C$310:$C$315</definedName>
    <definedName name="Solar.table.night.marks">Tables!$R$4:$R$27</definedName>
    <definedName name="Solar.table.qi.names">Tables!$H$4:$H$27</definedName>
    <definedName name="Tu.hejiyue">'The Text'!$E$1199</definedName>
    <definedName name="Tu.ridufa">'The Text'!$E$1208</definedName>
    <definedName name="Tu.yuefa">'The Text'!$E$1203</definedName>
    <definedName name="Tu.yueyu">'The Text'!#REF!</definedName>
    <definedName name="Tu.yueyu.accumulated">'The Text'!#REF!</definedName>
    <definedName name="UT.offset">'The Text'!#REF!</definedName>
    <definedName name="UT.offset.inverse">'The Text'!#REF!</definedName>
    <definedName name="velocity_of_the_sun">'The Text'!$E$52</definedName>
    <definedName name="Venus.days.since.conjunction">'The Text'!$K$1535:$K$1548</definedName>
    <definedName name="Venus.days.since.conjunction.evening">'The Text'!$K$1542:$K$1548</definedName>
    <definedName name="Venus.days.since.conjunction.morning">'The Text'!$K$1535:$K$1541</definedName>
    <definedName name="Venus.du.since.conjunction">'The Text'!$L$1535:$L$1548</definedName>
    <definedName name="Venus.du.since.conjunction.evening">'The Text'!$L$1542:$L$1548</definedName>
    <definedName name="Venus.du.since.conjunction.morning">'The Text'!$L$1535:$L$1541</definedName>
    <definedName name="Venus.IC.hidden.day.parts">'The Text'!$C$1552</definedName>
    <definedName name="Venus.IC.hidden.du.parts">'The Text'!$D$1552</definedName>
    <definedName name="Venus.phase.name">'The Text'!$B$1535:$B$1548</definedName>
    <definedName name="Venus.phase.number">'The Text'!$A$1535:$A$1548</definedName>
    <definedName name="Venus.SC.hidden.day.parts">'The Text'!$C$1554</definedName>
    <definedName name="Venus.SC.hidden.du.parts">'The Text'!$D$1554</definedName>
    <definedName name="Venus.table.accumulated.days">'Planetary Tables'!$P$34:$P$39</definedName>
    <definedName name="Venus.table.accumulated.days.remainder">'Planetary Tables'!$Q$34:$Q$39</definedName>
    <definedName name="Venus.table.day">'Planetary Tables'!$V$34:$V$39</definedName>
    <definedName name="Venus.table.day.remainder">'Planetary Tables'!$U$34:$U$39</definedName>
    <definedName name="Venus.table.dipper.du">'Planetary Tables'!$AA$34:$AA$39</definedName>
    <definedName name="Venus.table.dipper.du.parts">'Planetary Tables'!$AB$34:$AB$39</definedName>
    <definedName name="Venus.table.du">'Planetary Tables'!$AD$34:$AD$39</definedName>
    <definedName name="Venus.table.du.parts">'Planetary Tables'!$AE$34:$AE$39</definedName>
    <definedName name="Venus.table.lodge">'Planetary Tables'!$AC$34:$AC$39</definedName>
    <definedName name="Venus.table.month">'Planetary Tables'!$O$34:$O$39</definedName>
    <definedName name="Venus.table.number">'Planetary Tables'!$A$34:$A$39</definedName>
    <definedName name="Venus.table.side">'Planetary Tables'!$G$34:$G$39</definedName>
    <definedName name="Venus.table.total.accumulated.days">'Planetary Tables'!$AG$34:$AG$39</definedName>
    <definedName name="Venus.table.year">'Planetary Tables'!$E$34:$E$39</definedName>
    <definedName name="Venus.velocity.denominator">'The Text'!$H$1535:$H$1548</definedName>
    <definedName name="Venus.velocity.divisor">'The Text'!$I$1535:$I$1548</definedName>
    <definedName name="Venus.visible.day.parts">'The Text'!$C$1553</definedName>
    <definedName name="Venus.visible.du.parts">'The Text'!$D$1553</definedName>
    <definedName name="Venus.VP.JD">#REF!</definedName>
    <definedName name="Venus.VP.lodge">#REF!</definedName>
    <definedName name="Venus.VP.lodge.du">#REF!</definedName>
    <definedName name="Venus.VP.lodge.fen">#REF!</definedName>
    <definedName name="Venus.VP.name">#REF!</definedName>
    <definedName name="Venus.VP.ox.du">#REF!</definedName>
    <definedName name="WS_Epact">'The Text'!$D$334</definedName>
    <definedName name="Years.Since.High.Origin">'The Text'!$D$33</definedName>
    <definedName name="中法">'The Text'!$G$133</definedName>
    <definedName name="元會">'The Text'!$G$146</definedName>
    <definedName name="元法">'The Text'!$G$119</definedName>
    <definedName name="入曆日">'The Text'!$J$952:$J$1031</definedName>
    <definedName name="入章月數">'The Text'!$J$922</definedName>
    <definedName name="入章閏數">'The Text'!$I$933</definedName>
    <definedName name="入蔀年">'The Text'!$I$168</definedName>
    <definedName name="入蔀會年">'The Text'!$I$189</definedName>
    <definedName name="冬至小餘">'The Text'!#REF!</definedName>
    <definedName name="周天">'The Text'!$G$126</definedName>
    <definedName name="土入月日">'The Text'!$F$1141</definedName>
    <definedName name="土合積月">'The Text'!$F$1135</definedName>
    <definedName name="土合終合數">'The Text'!$F$1390</definedName>
    <definedName name="土周率">'The Text'!$F$1133</definedName>
    <definedName name="土大餘">'The Text'!$F$1138</definedName>
    <definedName name="土定積月">'The Text'!$M$1539</definedName>
    <definedName name="土小餘">'The Text'!$F$1139</definedName>
    <definedName name="土度餘">'The Text'!$F$1145</definedName>
    <definedName name="土日度法">'The Text'!$F$1143</definedName>
    <definedName name="土日率">'The Text'!$F$1134</definedName>
    <definedName name="土日餘">'The Text'!$F$1142</definedName>
    <definedName name="土月法">'The Text'!$F$1137</definedName>
    <definedName name="土月餘">'The Text'!$F$1136</definedName>
    <definedName name="土朔小餘">#N/A</definedName>
    <definedName name="土積合">'The Text'!$M$1522</definedName>
    <definedName name="土積度">'The Text'!$F$1144</definedName>
    <definedName name="土虛分">'The Text'!$F$1140</definedName>
    <definedName name="大周">'The Text'!$G$134</definedName>
    <definedName name="大餘">'The Text'!$I$230</definedName>
    <definedName name="損益率">'The Text'!$P$952:$P$1031</definedName>
    <definedName name="斗分">'The Text'!#REF!</definedName>
    <definedName name="日夜半積度">'The Text'!$I$640</definedName>
    <definedName name="日夜半積度餘分">'The Text'!$J$640</definedName>
    <definedName name="日法">'The Text'!$G$127</definedName>
    <definedName name="日餘">'The Text'!$G$132</definedName>
    <definedName name="會數">'The Text'!#REF!</definedName>
    <definedName name="月周">'The Text'!$G$135</definedName>
    <definedName name="月夜半積度">'The Text'!$I$728</definedName>
    <definedName name="月夜半積度餘分">'The Text'!$J$728</definedName>
    <definedName name="月數">'The Text'!$G$150</definedName>
    <definedName name="月行分">'The Text'!$R$952:$R$1031</definedName>
    <definedName name="木入月日">'The Text'!$F$1111</definedName>
    <definedName name="木合積月">'The Text'!$F$1105</definedName>
    <definedName name="木合終合數">'The Text'!$F$1236</definedName>
    <definedName name="木周率">'The Text'!$F$1103</definedName>
    <definedName name="木大餘">'The Text'!$F$1108</definedName>
    <definedName name="木定積月">'The Text'!$I$1539</definedName>
    <definedName name="木小餘">'The Text'!$F$1109</definedName>
    <definedName name="木度餘">'The Text'!$F$1115</definedName>
    <definedName name="木日度法">'The Text'!$F$1113</definedName>
    <definedName name="木日率">'The Text'!$F$1104</definedName>
    <definedName name="木日餘">'The Text'!$F$1112</definedName>
    <definedName name="木月法">'The Text'!$F$1107</definedName>
    <definedName name="木月餘">'The Text'!$F$1106</definedName>
    <definedName name="木朔小餘">'The Text'!#REF!</definedName>
    <definedName name="木積合">'The Text'!$I$1522</definedName>
    <definedName name="木積度">'The Text'!$F$1114</definedName>
    <definedName name="木虛分">'The Text'!$F$1110</definedName>
    <definedName name="歲中">'The Text'!#REF!</definedName>
    <definedName name="歲數">'The Text'!$G$148</definedName>
    <definedName name="氣大餘">'The Text'!$I$278</definedName>
    <definedName name="氣小餘">'The Text'!$J$278</definedName>
    <definedName name="水入月日">'The Text'!$F$1171</definedName>
    <definedName name="水合積月">'The Text'!$F$1165</definedName>
    <definedName name="水合終合數">'The Text'!$F$1498</definedName>
    <definedName name="水周率">'The Text'!$F$1163</definedName>
    <definedName name="水大餘">'The Text'!$F$1168</definedName>
    <definedName name="水定積月">'The Text'!$Q$1539</definedName>
    <definedName name="水小餘">'The Text'!$F$1169</definedName>
    <definedName name="水度餘">'The Text'!$F$1175</definedName>
    <definedName name="水日度法">'The Text'!$F$1173</definedName>
    <definedName name="水日率">'The Text'!$F$1164</definedName>
    <definedName name="水日餘">'The Text'!$F$1172</definedName>
    <definedName name="水月法">'The Text'!$F$1167</definedName>
    <definedName name="水月餘">'The Text'!$F$1166</definedName>
    <definedName name="水朔小餘">'The Text'!$F$1504</definedName>
    <definedName name="水積合">'The Text'!$Q$1522</definedName>
    <definedName name="水積度">'The Text'!$F$1174</definedName>
    <definedName name="水虛分">'The Text'!$F$1170</definedName>
    <definedName name="沒數">'The Text'!$G$129</definedName>
    <definedName name="沒法">'The Text'!$G$131</definedName>
    <definedName name="沒積">'The Text'!$I$415</definedName>
    <definedName name="沒餘">'The Text'!$J$415</definedName>
    <definedName name="火入月日">'The Text'!$F$1126</definedName>
    <definedName name="火合月法">'The Text'!#REF!</definedName>
    <definedName name="火合積月">'The Text'!$F$1120</definedName>
    <definedName name="火合終合數">'The Text'!$F$1250</definedName>
    <definedName name="火周率">'The Text'!$F$1118</definedName>
    <definedName name="火大餘">'The Text'!$F$1123</definedName>
    <definedName name="火定積月">'The Text'!$K$1539</definedName>
    <definedName name="火小餘">'The Text'!$F$1124</definedName>
    <definedName name="火度餘">'The Text'!$F$1130</definedName>
    <definedName name="火斗分">'The Text'!#REF!</definedName>
    <definedName name="火日度法">'The Text'!$F$1128</definedName>
    <definedName name="火日率">'The Text'!$F$1119</definedName>
    <definedName name="火日餘">'The Text'!$F$1127</definedName>
    <definedName name="火月法">'The Text'!$F$1122</definedName>
    <definedName name="火月餘">'The Text'!$F$1121</definedName>
    <definedName name="火朔小餘">'The Text'!#REF!</definedName>
    <definedName name="火積合">'The Text'!$K$1522</definedName>
    <definedName name="火積度">'The Text'!$F$1129</definedName>
    <definedName name="火虛分">'The Text'!$F$1125</definedName>
    <definedName name="盈縮積">'The Text'!$Q$952:$Q$1031</definedName>
    <definedName name="積度">'The Text'!$I$454</definedName>
    <definedName name="積度余分">'The Text'!$J$454</definedName>
    <definedName name="積日">'The Text'!$I$228</definedName>
    <definedName name="積日小餘">'The Text'!$J$228</definedName>
    <definedName name="積日日餘">'The Text'!#REF!</definedName>
    <definedName name="積月">'The Text'!$I$220</definedName>
    <definedName name="積食">'The Text'!$I$917</definedName>
    <definedName name="章月">'The Text'!$G$125</definedName>
    <definedName name="章歲">'The Text'!$F$10</definedName>
    <definedName name="章法">'The Text'!$G$124</definedName>
    <definedName name="章閏">'The Text'!$G$131</definedName>
    <definedName name="章閏數">'The Text'!$G$131</definedName>
    <definedName name="紀月">'The Text'!$G$121</definedName>
    <definedName name="紀法">'The Text'!$G$120</definedName>
    <definedName name="蔀名">'The Text'!$J$165</definedName>
    <definedName name="蔀日">'The Text'!$G$128</definedName>
    <definedName name="蔀會">'The Text'!$G$147</definedName>
    <definedName name="蔀會名">'The Text'!$J$187</definedName>
    <definedName name="蔀月">'The Text'!$G$123</definedName>
    <definedName name="蔀法">'The Text'!$G$122</definedName>
    <definedName name="通周">'The Text'!$F$28</definedName>
    <definedName name="通數">'The Text'!#REF!</definedName>
    <definedName name="通法">'The Text'!$G$130</definedName>
    <definedName name="金入月日">'The Text'!$F$1156</definedName>
    <definedName name="金合積月">'The Text'!$F$1150</definedName>
    <definedName name="金合終合數">'The Text'!$F$1478</definedName>
    <definedName name="金周率">'The Text'!$F$1148</definedName>
    <definedName name="金大餘">'The Text'!$F$1153</definedName>
    <definedName name="金定積月">'The Text'!$O$1539</definedName>
    <definedName name="金小餘">'The Text'!$F$1154</definedName>
    <definedName name="金度餘">'The Text'!$F$1160</definedName>
    <definedName name="金日度法">'The Text'!$F$1158</definedName>
    <definedName name="金日率">'The Text'!$F$1149</definedName>
    <definedName name="金日餘">'The Text'!$F$1157</definedName>
    <definedName name="金月法">'The Text'!$F$1152</definedName>
    <definedName name="金月餘">'The Text'!$F$1151</definedName>
    <definedName name="金朔小餘">'The Text'!$F$1484</definedName>
    <definedName name="金積合">'The Text'!$O$1522</definedName>
    <definedName name="金積度">'The Text'!$F$1159</definedName>
    <definedName name="金虛分">'The Text'!$F$1155</definedName>
    <definedName name="閏餘">'The Text'!$J$220</definedName>
    <definedName name="食數">'The Text'!$G$149</definedName>
    <definedName name="食法">'The Text'!$G$151</definedName>
    <definedName name="食積月">'The Text'!$I$920</definedName>
    <definedName name="食積月餘分">'The Text'!$J$920</definedName>
    <definedName name="食餘">'The Text'!$J$917</definedName>
  </definedNames>
  <calcPr calcId="144525"/>
</workbook>
</file>

<file path=xl/calcChain.xml><?xml version="1.0" encoding="utf-8"?>
<calcChain xmlns="http://schemas.openxmlformats.org/spreadsheetml/2006/main">
  <c r="B1634" i="1" l="1"/>
  <c r="B1633" i="1"/>
  <c r="A1619" i="1"/>
  <c r="A1626" i="1" s="1"/>
  <c r="N1600" i="1"/>
  <c r="M1600" i="1"/>
  <c r="L1600" i="1"/>
  <c r="K1600" i="1"/>
  <c r="J1600" i="1"/>
  <c r="I1600" i="1"/>
  <c r="AJ37" i="6"/>
  <c r="AJ38" i="6" s="1"/>
  <c r="AJ33" i="6"/>
  <c r="AJ34" i="6" s="1"/>
  <c r="AJ35" i="6" s="1"/>
  <c r="AJ36" i="6" s="1"/>
  <c r="AJ11" i="6"/>
  <c r="AJ12" i="6"/>
  <c r="AJ13" i="6" s="1"/>
  <c r="AJ14" i="6" s="1"/>
  <c r="AJ15" i="6" s="1"/>
  <c r="AJ16" i="6" s="1"/>
  <c r="AJ17" i="6" s="1"/>
  <c r="AJ18" i="6" s="1"/>
  <c r="AJ19" i="6" s="1"/>
  <c r="AJ20" i="6" s="1"/>
  <c r="AJ21" i="6" s="1"/>
  <c r="AJ22" i="6" s="1"/>
  <c r="AJ23" i="6" s="1"/>
  <c r="AJ24" i="6" s="1"/>
  <c r="AJ25" i="6" s="1"/>
  <c r="AJ26" i="6" s="1"/>
  <c r="AJ27" i="6" s="1"/>
  <c r="AJ28" i="6" s="1"/>
  <c r="AJ29" i="6" s="1"/>
  <c r="AJ30" i="6" s="1"/>
  <c r="AJ31" i="6" s="1"/>
  <c r="AJ32" i="6" s="1"/>
  <c r="AJ10" i="6"/>
  <c r="A54" i="6"/>
  <c r="A51" i="6"/>
  <c r="A52" i="6"/>
  <c r="A53" i="6" s="1"/>
  <c r="A47" i="6"/>
  <c r="A48" i="6"/>
  <c r="A49" i="6" s="1"/>
  <c r="A50" i="6" s="1"/>
  <c r="A46" i="6"/>
  <c r="A39" i="6"/>
  <c r="A37" i="6"/>
  <c r="A38" i="6"/>
  <c r="A36" i="6"/>
  <c r="A35" i="6"/>
  <c r="A19" i="6"/>
  <c r="A20" i="6" s="1"/>
  <c r="A27" i="6"/>
  <c r="A28" i="6" s="1"/>
  <c r="D2" i="6"/>
  <c r="A11" i="6"/>
  <c r="A12" i="6" s="1"/>
  <c r="G1455" i="1" l="1"/>
  <c r="J1428" i="1" l="1"/>
  <c r="F1419" i="1"/>
  <c r="F1422" i="1" l="1"/>
  <c r="F1425" i="1"/>
  <c r="I1328" i="1"/>
  <c r="Q1313" i="1"/>
  <c r="O1313" i="1"/>
  <c r="M1313" i="1"/>
  <c r="K1313" i="1"/>
  <c r="I1313" i="1"/>
  <c r="C1311" i="1"/>
  <c r="F1182" i="1"/>
  <c r="I1270" i="1"/>
  <c r="A39" i="1" l="1"/>
  <c r="A40" i="1" s="1"/>
  <c r="A41" i="1" s="1"/>
  <c r="A120" i="1"/>
  <c r="A121" i="1" s="1"/>
  <c r="A122" i="1" s="1"/>
  <c r="A123" i="1" s="1"/>
  <c r="A124" i="1" s="1"/>
  <c r="A125" i="1" s="1"/>
  <c r="A126" i="1" s="1"/>
  <c r="A127" i="1" s="1"/>
  <c r="A128" i="1" s="1"/>
  <c r="A129" i="1" s="1"/>
  <c r="A130" i="1" s="1"/>
  <c r="A131" i="1" s="1"/>
  <c r="A132" i="1" s="1"/>
  <c r="A133" i="1" s="1"/>
  <c r="A134" i="1" s="1"/>
  <c r="A135" i="1" s="1"/>
  <c r="A138" i="1" s="1"/>
  <c r="A146" i="1" s="1"/>
  <c r="A147" i="1" s="1"/>
  <c r="A148" i="1" s="1"/>
  <c r="A149" i="1" s="1"/>
  <c r="A150" i="1" s="1"/>
  <c r="A151" i="1" s="1"/>
  <c r="I1194" i="1" l="1"/>
  <c r="A1104" i="1"/>
  <c r="A1105" i="1" s="1"/>
  <c r="A1106" i="1" s="1"/>
  <c r="A1107" i="1" s="1"/>
  <c r="A1108" i="1" s="1"/>
  <c r="A1109" i="1" s="1"/>
  <c r="A1110" i="1" s="1"/>
  <c r="A1111" i="1" s="1"/>
  <c r="A1112" i="1" s="1"/>
  <c r="A1113" i="1" s="1"/>
  <c r="A1114" i="1" s="1"/>
  <c r="A1115" i="1" s="1"/>
  <c r="A1118" i="1" s="1"/>
  <c r="A1119" i="1" s="1"/>
  <c r="A1120" i="1" s="1"/>
  <c r="A1121" i="1" s="1"/>
  <c r="A1122" i="1" s="1"/>
  <c r="A1123" i="1" s="1"/>
  <c r="A1124" i="1" s="1"/>
  <c r="A1125" i="1" s="1"/>
  <c r="A1126" i="1" s="1"/>
  <c r="A1127" i="1" s="1"/>
  <c r="A1128" i="1" s="1"/>
  <c r="A1129" i="1" s="1"/>
  <c r="A1130" i="1" s="1"/>
  <c r="A1133" i="1" s="1"/>
  <c r="A1134" i="1" s="1"/>
  <c r="A1135" i="1" s="1"/>
  <c r="A1136" i="1" s="1"/>
  <c r="A1137" i="1" s="1"/>
  <c r="A1138" i="1" s="1"/>
  <c r="A1139" i="1" s="1"/>
  <c r="A1140" i="1" s="1"/>
  <c r="A1141" i="1" s="1"/>
  <c r="A1142" i="1" s="1"/>
  <c r="A1143" i="1" s="1"/>
  <c r="A1144" i="1" s="1"/>
  <c r="A1145" i="1" s="1"/>
  <c r="A1148" i="1" s="1"/>
  <c r="A1149" i="1" s="1"/>
  <c r="A1150" i="1" s="1"/>
  <c r="A1151" i="1" s="1"/>
  <c r="A1152" i="1" s="1"/>
  <c r="A1153" i="1" s="1"/>
  <c r="A1154" i="1" s="1"/>
  <c r="A1155" i="1" s="1"/>
  <c r="A1156" i="1" s="1"/>
  <c r="A1157" i="1" s="1"/>
  <c r="A1158" i="1" s="1"/>
  <c r="A1159" i="1" s="1"/>
  <c r="A1160" i="1" s="1"/>
  <c r="A1163" i="1" s="1"/>
  <c r="A1164" i="1" s="1"/>
  <c r="A1165" i="1" s="1"/>
  <c r="A1166" i="1" s="1"/>
  <c r="A1167" i="1" s="1"/>
  <c r="A1168" i="1" s="1"/>
  <c r="A1169" i="1" s="1"/>
  <c r="A1170" i="1" s="1"/>
  <c r="A1171" i="1" s="1"/>
  <c r="A1172" i="1" s="1"/>
  <c r="A1173" i="1" s="1"/>
  <c r="A1174" i="1" s="1"/>
  <c r="A1175" i="1" s="1"/>
  <c r="A1178" i="1" s="1"/>
  <c r="A1187" i="1" s="1"/>
  <c r="A1188" i="1" s="1"/>
  <c r="A1190" i="1" s="1"/>
  <c r="A1194" i="1" s="1"/>
  <c r="A1196" i="1" s="1"/>
  <c r="A1199" i="1" s="1"/>
  <c r="A1204" i="1" s="1"/>
  <c r="A1208" i="1" s="1"/>
  <c r="A1217" i="1" s="1"/>
  <c r="A1224" i="1" s="1"/>
  <c r="A1234" i="1" s="1"/>
  <c r="A1250" i="1" s="1"/>
  <c r="A1261" i="1" s="1"/>
  <c r="A1336" i="1" s="1"/>
  <c r="A1410" i="1" s="1"/>
  <c r="A1462" i="1" s="1"/>
  <c r="D1095" i="1"/>
  <c r="D1089" i="1"/>
  <c r="D1090" i="1" s="1"/>
  <c r="G148" i="1" l="1"/>
  <c r="G147" i="1" s="1"/>
  <c r="G149" i="1"/>
  <c r="AG4" i="3"/>
  <c r="AH5" i="3"/>
  <c r="AH6" i="3" s="1"/>
  <c r="AH7" i="3" s="1"/>
  <c r="AH8" i="3" s="1"/>
  <c r="AH9" i="3" s="1"/>
  <c r="AH10" i="3" s="1"/>
  <c r="AH11" i="3" s="1"/>
  <c r="AH12" i="3" s="1"/>
  <c r="AH13" i="3" s="1"/>
  <c r="AH14" i="3" s="1"/>
  <c r="AH15" i="3" s="1"/>
  <c r="AH16" i="3" s="1"/>
  <c r="AH17" i="3" s="1"/>
  <c r="AH18" i="3" s="1"/>
  <c r="AH19" i="3" s="1"/>
  <c r="AH20" i="3" s="1"/>
  <c r="AH21" i="3" s="1"/>
  <c r="AH22" i="3" s="1"/>
  <c r="AH23" i="3" s="1"/>
  <c r="AI9" i="3"/>
  <c r="AD5" i="3"/>
  <c r="AD6" i="3" s="1"/>
  <c r="AD7" i="3" s="1"/>
  <c r="AD8" i="3" s="1"/>
  <c r="AD9" i="3" s="1"/>
  <c r="AD10" i="3" s="1"/>
  <c r="AD11" i="3" s="1"/>
  <c r="AD12" i="3" s="1"/>
  <c r="AD13" i="3" s="1"/>
  <c r="AD14" i="3" s="1"/>
  <c r="AD15" i="3" s="1"/>
  <c r="AD16" i="3" s="1"/>
  <c r="AD17" i="3" s="1"/>
  <c r="AD18" i="3" s="1"/>
  <c r="AD19" i="3" s="1"/>
  <c r="AD20" i="3" s="1"/>
  <c r="AD21" i="3" s="1"/>
  <c r="AD22" i="3" s="1"/>
  <c r="AD23" i="3" s="1"/>
  <c r="AF4" i="3" s="1"/>
  <c r="AF5" i="3" s="1"/>
  <c r="AF6" i="3" s="1"/>
  <c r="AF7" i="3" s="1"/>
  <c r="AF8" i="3" s="1"/>
  <c r="AF9" i="3" s="1"/>
  <c r="AF10" i="3" s="1"/>
  <c r="AF11" i="3" s="1"/>
  <c r="AF12" i="3" s="1"/>
  <c r="AF13" i="3" s="1"/>
  <c r="AF14" i="3" s="1"/>
  <c r="AF15" i="3" s="1"/>
  <c r="AF16" i="3" s="1"/>
  <c r="AF17" i="3" s="1"/>
  <c r="AF18" i="3" s="1"/>
  <c r="AF19" i="3" s="1"/>
  <c r="AF20" i="3" s="1"/>
  <c r="AF21" i="3" s="1"/>
  <c r="AF22" i="3" s="1"/>
  <c r="AF23" i="3" s="1"/>
  <c r="AB5" i="3"/>
  <c r="AB6" i="3" s="1"/>
  <c r="AB7" i="3" s="1"/>
  <c r="Z5" i="3"/>
  <c r="Z6" i="3" s="1"/>
  <c r="Z7" i="3" s="1"/>
  <c r="Z8" i="3" s="1"/>
  <c r="Z9" i="3" s="1"/>
  <c r="Z10" i="3" s="1"/>
  <c r="Z11" i="3" s="1"/>
  <c r="Z12" i="3" s="1"/>
  <c r="Z13" i="3" s="1"/>
  <c r="Z14" i="3" s="1"/>
  <c r="Z15" i="3" s="1"/>
  <c r="Z16" i="3" s="1"/>
  <c r="Z17" i="3" s="1"/>
  <c r="Z18" i="3" s="1"/>
  <c r="Z19" i="3" s="1"/>
  <c r="Z20" i="3" s="1"/>
  <c r="Z21" i="3" s="1"/>
  <c r="Z22" i="3" s="1"/>
  <c r="Z23" i="3" s="1"/>
  <c r="E31" i="1" l="1"/>
  <c r="D31" i="1" s="1"/>
  <c r="G146" i="1"/>
  <c r="AG23" i="3"/>
  <c r="AG14" i="3"/>
  <c r="AG10" i="3"/>
  <c r="AG15" i="3"/>
  <c r="AG11" i="3"/>
  <c r="AG22" i="3"/>
  <c r="AG7" i="3"/>
  <c r="AG16" i="3"/>
  <c r="AG20" i="3"/>
  <c r="AG5" i="3"/>
  <c r="AG13" i="3"/>
  <c r="AG9" i="3"/>
  <c r="AG18" i="3"/>
  <c r="AG6" i="3"/>
  <c r="AG12" i="3"/>
  <c r="AG8" i="3"/>
  <c r="AG17" i="3"/>
  <c r="AG21" i="3"/>
  <c r="AB8" i="3"/>
  <c r="AB9" i="3" s="1"/>
  <c r="AB10" i="3" s="1"/>
  <c r="AB11" i="3" s="1"/>
  <c r="AB12" i="3" s="1"/>
  <c r="AB13" i="3" s="1"/>
  <c r="AB14" i="3" s="1"/>
  <c r="AB15" i="3" s="1"/>
  <c r="AB16" i="3" s="1"/>
  <c r="AB17" i="3" s="1"/>
  <c r="AB18" i="3" s="1"/>
  <c r="AB19" i="3" s="1"/>
  <c r="AB20" i="3" s="1"/>
  <c r="AB21" i="3" s="1"/>
  <c r="AB22" i="3" s="1"/>
  <c r="AB23" i="3" s="1"/>
  <c r="C842" i="1"/>
  <c r="C865" i="1"/>
  <c r="J192" i="1" l="1"/>
  <c r="I192" i="1" s="1"/>
  <c r="B804" i="1"/>
  <c r="B805" i="1"/>
  <c r="B800" i="1"/>
  <c r="B801" i="1"/>
  <c r="B802" i="1"/>
  <c r="B803" i="1"/>
  <c r="B792" i="1"/>
  <c r="B793" i="1"/>
  <c r="B794" i="1"/>
  <c r="B795" i="1"/>
  <c r="B796" i="1"/>
  <c r="B797" i="1"/>
  <c r="B798" i="1"/>
  <c r="B799" i="1"/>
  <c r="B791"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62" i="1" s="1"/>
  <c r="H733"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74" i="1" s="1"/>
  <c r="H645"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88" i="1" s="1"/>
  <c r="H459" i="1"/>
  <c r="B620" i="1"/>
  <c r="B611" i="1"/>
  <c r="B593" i="1"/>
  <c r="B503" i="1"/>
  <c r="B512" i="1"/>
  <c r="B521" i="1"/>
  <c r="B530" i="1"/>
  <c r="B539" i="1"/>
  <c r="B548" i="1"/>
  <c r="B557" i="1"/>
  <c r="B566" i="1"/>
  <c r="B575" i="1"/>
  <c r="B584" i="1"/>
  <c r="B602" i="1"/>
  <c r="B494" i="1"/>
  <c r="C494" i="1" s="1"/>
  <c r="B452" i="1"/>
  <c r="B450" i="1"/>
  <c r="E30" i="1" l="1"/>
  <c r="D30" i="1"/>
  <c r="D18" i="1" l="1"/>
  <c r="B288" i="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L171" i="1" l="1"/>
  <c r="I1033" i="1"/>
  <c r="I171" i="1"/>
  <c r="E114" i="1"/>
  <c r="G135" i="1"/>
  <c r="E94" i="1"/>
  <c r="E95" i="1" s="1"/>
  <c r="D95" i="1" s="1"/>
  <c r="D93" i="1"/>
  <c r="E87" i="1"/>
  <c r="E86" i="1"/>
  <c r="E73" i="1"/>
  <c r="D64" i="1"/>
  <c r="D73" i="1" s="1"/>
  <c r="G133" i="1"/>
  <c r="J1034" i="1" l="1"/>
  <c r="I1034" i="1"/>
  <c r="D94" i="1"/>
  <c r="T4" i="3"/>
  <c r="T5" i="3"/>
  <c r="T6" i="3"/>
  <c r="T7" i="3"/>
  <c r="T8" i="3"/>
  <c r="T9" i="3"/>
  <c r="T14" i="3"/>
  <c r="T16" i="3"/>
  <c r="T17" i="3"/>
  <c r="T18" i="3"/>
  <c r="T19" i="3"/>
  <c r="T21" i="3"/>
  <c r="T22" i="3"/>
  <c r="T25" i="3"/>
  <c r="T26" i="3"/>
  <c r="T27" i="3"/>
  <c r="R4" i="3" l="1"/>
  <c r="W4" i="3"/>
  <c r="E5" i="3"/>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O5" i="3"/>
  <c r="R5" i="3"/>
  <c r="W5" i="3"/>
  <c r="I6" i="3"/>
  <c r="O6" i="3"/>
  <c r="R6" i="3"/>
  <c r="O7" i="3"/>
  <c r="R7" i="3"/>
  <c r="W7" i="3"/>
  <c r="I8" i="3"/>
  <c r="I9" i="3" s="1"/>
  <c r="I10" i="3" s="1"/>
  <c r="I11" i="3" s="1"/>
  <c r="I12" i="3" s="1"/>
  <c r="I13" i="3" s="1"/>
  <c r="I14" i="3" s="1"/>
  <c r="I15" i="3" s="1"/>
  <c r="I16" i="3" s="1"/>
  <c r="I17" i="3" s="1"/>
  <c r="I18" i="3" s="1"/>
  <c r="I19" i="3" s="1"/>
  <c r="I20" i="3" s="1"/>
  <c r="I21" i="3" s="1"/>
  <c r="I22" i="3" s="1"/>
  <c r="I23" i="3" s="1"/>
  <c r="I24" i="3" s="1"/>
  <c r="I25" i="3" s="1"/>
  <c r="I26" i="3" s="1"/>
  <c r="I27" i="3" s="1"/>
  <c r="O8" i="3"/>
  <c r="R8" i="3"/>
  <c r="W8" i="3"/>
  <c r="O9" i="3"/>
  <c r="R9" i="3"/>
  <c r="O10" i="3"/>
  <c r="R10" i="3"/>
  <c r="W10" i="3"/>
  <c r="O11" i="3"/>
  <c r="R11" i="3"/>
  <c r="O12" i="3"/>
  <c r="R12" i="3"/>
  <c r="O13" i="3"/>
  <c r="R13" i="3"/>
  <c r="W13" i="3"/>
  <c r="O14" i="3"/>
  <c r="R14" i="3"/>
  <c r="W14" i="3"/>
  <c r="O15" i="3"/>
  <c r="R15" i="3"/>
  <c r="W15" i="3"/>
  <c r="O16" i="3"/>
  <c r="R16" i="3"/>
  <c r="W16" i="3"/>
  <c r="O17" i="3"/>
  <c r="R17" i="3"/>
  <c r="W17" i="3"/>
  <c r="R18" i="3"/>
  <c r="O19" i="3"/>
  <c r="R19" i="3"/>
  <c r="W19" i="3"/>
  <c r="O20" i="3"/>
  <c r="R20" i="3"/>
  <c r="O21" i="3"/>
  <c r="R21" i="3"/>
  <c r="W21" i="3"/>
  <c r="O22" i="3"/>
  <c r="R22" i="3"/>
  <c r="W22" i="3"/>
  <c r="O23" i="3"/>
  <c r="R23" i="3"/>
  <c r="W23" i="3"/>
  <c r="O24" i="3"/>
  <c r="R24" i="3"/>
  <c r="W24" i="3"/>
  <c r="O25" i="3"/>
  <c r="R25" i="3"/>
  <c r="W25" i="3"/>
  <c r="O26" i="3"/>
  <c r="R26" i="3"/>
  <c r="W26" i="3"/>
  <c r="O27" i="3"/>
  <c r="R27" i="3"/>
  <c r="W27" i="3"/>
  <c r="G122" i="1"/>
  <c r="G123" i="1"/>
  <c r="G126" i="1"/>
  <c r="B196" i="1"/>
  <c r="B197" i="1" s="1"/>
  <c r="B198" i="1" s="1"/>
  <c r="B199" i="1" s="1"/>
  <c r="B200" i="1" s="1"/>
  <c r="B201" i="1" s="1"/>
  <c r="B202" i="1" s="1"/>
  <c r="B203" i="1" s="1"/>
  <c r="B204" i="1" s="1"/>
  <c r="B205" i="1" s="1"/>
  <c r="B206" i="1" s="1"/>
  <c r="B207" i="1" s="1"/>
  <c r="B208" i="1" s="1"/>
  <c r="B209" i="1" s="1"/>
  <c r="B210" i="1" s="1"/>
  <c r="B211" i="1" s="1"/>
  <c r="B212" i="1" s="1"/>
  <c r="B213" i="1" s="1"/>
  <c r="B214" i="1" s="1"/>
  <c r="B240" i="1"/>
  <c r="B241" i="1" s="1"/>
  <c r="B242" i="1" s="1"/>
  <c r="B243" i="1" s="1"/>
  <c r="B244" i="1" s="1"/>
  <c r="B245" i="1" s="1"/>
  <c r="F1107" i="1"/>
  <c r="F1113" i="1"/>
  <c r="F1122" i="1"/>
  <c r="K1456" i="1" s="1"/>
  <c r="F1128" i="1"/>
  <c r="F1137" i="1"/>
  <c r="M1456" i="1" s="1"/>
  <c r="F1143" i="1"/>
  <c r="F1152" i="1"/>
  <c r="O1456" i="1" s="1"/>
  <c r="F1158" i="1"/>
  <c r="F1167" i="1"/>
  <c r="Q1456" i="1" s="1"/>
  <c r="F1173" i="1"/>
  <c r="H1482" i="1"/>
  <c r="H1488" i="1" s="1"/>
  <c r="I1482" i="1"/>
  <c r="I1488" i="1" s="1"/>
  <c r="H1483" i="1"/>
  <c r="H1487" i="1" s="1"/>
  <c r="I1483" i="1"/>
  <c r="I1484" i="1" s="1"/>
  <c r="H1485" i="1"/>
  <c r="D1486" i="1"/>
  <c r="D1487" i="1"/>
  <c r="D1488" i="1"/>
  <c r="E1489" i="1"/>
  <c r="E1490" i="1" s="1"/>
  <c r="G1489" i="1"/>
  <c r="D1507" i="1"/>
  <c r="E1507" i="1"/>
  <c r="F1507" i="1"/>
  <c r="G1507" i="1"/>
  <c r="I1519" i="1"/>
  <c r="D1521" i="1"/>
  <c r="D1522" i="1"/>
  <c r="F1522" i="1"/>
  <c r="H1522" i="1"/>
  <c r="I1522" i="1"/>
  <c r="D1523" i="1"/>
  <c r="E1523" i="1"/>
  <c r="F1523" i="1"/>
  <c r="G1523" i="1"/>
  <c r="G1524" i="1" s="1"/>
  <c r="H1535" i="1"/>
  <c r="I1535" i="1"/>
  <c r="I1538" i="1"/>
  <c r="H1539" i="1"/>
  <c r="H1540" i="1"/>
  <c r="D1542" i="1"/>
  <c r="E1542" i="1"/>
  <c r="E1549" i="1" s="1"/>
  <c r="F1542" i="1"/>
  <c r="G1542" i="1"/>
  <c r="F1543" i="1"/>
  <c r="F1544" i="1"/>
  <c r="D1545" i="1"/>
  <c r="D1546" i="1"/>
  <c r="D1548" i="1"/>
  <c r="I1548" i="1" s="1"/>
  <c r="H1548" i="1"/>
  <c r="H1561" i="1"/>
  <c r="I1561" i="1"/>
  <c r="H1564" i="1"/>
  <c r="I1564" i="1"/>
  <c r="G1566" i="1"/>
  <c r="G1567" i="1" s="1"/>
  <c r="D1567" i="1"/>
  <c r="E1567" i="1"/>
  <c r="F1567" i="1"/>
  <c r="D1568" i="1"/>
  <c r="F1568" i="1"/>
  <c r="D1569" i="1"/>
  <c r="I1569" i="1" s="1"/>
  <c r="F1569" i="1"/>
  <c r="H1569" i="1" s="1"/>
  <c r="D1570" i="1"/>
  <c r="D1572" i="1"/>
  <c r="I1572" i="1" s="1"/>
  <c r="H1572" i="1"/>
  <c r="P1606" i="1" l="1"/>
  <c r="L1536" i="1"/>
  <c r="L1537" i="1" s="1"/>
  <c r="L1538" i="1" s="1"/>
  <c r="L1539" i="1" s="1"/>
  <c r="L1540" i="1" s="1"/>
  <c r="L1541" i="1" s="1"/>
  <c r="L1542" i="1" s="1"/>
  <c r="L1543" i="1" s="1"/>
  <c r="L1544" i="1" s="1"/>
  <c r="L1545" i="1" s="1"/>
  <c r="L1546" i="1" s="1"/>
  <c r="L1547" i="1" s="1"/>
  <c r="L1548" i="1" s="1"/>
  <c r="L1500" i="1"/>
  <c r="L1501" i="1" s="1"/>
  <c r="L1502" i="1" s="1"/>
  <c r="L1503" i="1" s="1"/>
  <c r="L1504" i="1" s="1"/>
  <c r="L1505" i="1" s="1"/>
  <c r="L1506" i="1" s="1"/>
  <c r="L1507" i="1" s="1"/>
  <c r="L1606" i="1"/>
  <c r="L1562" i="1"/>
  <c r="L1563" i="1" s="1"/>
  <c r="L1564" i="1" s="1"/>
  <c r="L1565" i="1" s="1"/>
  <c r="L1566" i="1" s="1"/>
  <c r="L1567" i="1" s="1"/>
  <c r="L1568" i="1" s="1"/>
  <c r="L1569" i="1" s="1"/>
  <c r="L1570" i="1" s="1"/>
  <c r="L1571" i="1" s="1"/>
  <c r="L1572" i="1" s="1"/>
  <c r="R1606" i="1"/>
  <c r="L1518" i="1"/>
  <c r="L1519" i="1" s="1"/>
  <c r="L1520" i="1" s="1"/>
  <c r="L1521" i="1" s="1"/>
  <c r="L1522" i="1" s="1"/>
  <c r="L1523" i="1" s="1"/>
  <c r="N1606" i="1"/>
  <c r="L1482" i="1"/>
  <c r="L1483" i="1" s="1"/>
  <c r="L1484" i="1" s="1"/>
  <c r="L1485" i="1" s="1"/>
  <c r="L1486" i="1" s="1"/>
  <c r="L1487" i="1" s="1"/>
  <c r="L1488" i="1" s="1"/>
  <c r="L1489" i="1" s="1"/>
  <c r="J1606" i="1"/>
  <c r="G1173" i="1"/>
  <c r="N1238" i="1"/>
  <c r="Z26" i="6" s="1"/>
  <c r="Z27" i="6" s="1"/>
  <c r="Z28" i="6" s="1"/>
  <c r="J1238" i="1"/>
  <c r="Z10" i="6" s="1"/>
  <c r="F1151" i="1"/>
  <c r="O1444" i="1" s="1"/>
  <c r="F1120" i="1"/>
  <c r="K1443" i="1" s="1"/>
  <c r="F1166" i="1"/>
  <c r="Q1444" i="1" s="1"/>
  <c r="F1136" i="1"/>
  <c r="M1444" i="1" s="1"/>
  <c r="F1106" i="1"/>
  <c r="I1541" i="1"/>
  <c r="P1238" i="1"/>
  <c r="Z34" i="6" s="1"/>
  <c r="Z35" i="6" s="1"/>
  <c r="Z36" i="6" s="1"/>
  <c r="Z37" i="6" s="1"/>
  <c r="Z38" i="6" s="1"/>
  <c r="Z39" i="6" s="1"/>
  <c r="C1512" i="1"/>
  <c r="L1238" i="1"/>
  <c r="Z18" i="6" s="1"/>
  <c r="Z19" i="6" s="1"/>
  <c r="Z20" i="6" s="1"/>
  <c r="K1562" i="1"/>
  <c r="K1563" i="1" s="1"/>
  <c r="K1564" i="1" s="1"/>
  <c r="K1565" i="1" s="1"/>
  <c r="K1566" i="1" s="1"/>
  <c r="R1238" i="1"/>
  <c r="Z45" i="6" s="1"/>
  <c r="Z46" i="6" s="1"/>
  <c r="Z47" i="6" s="1"/>
  <c r="Z48" i="6" s="1"/>
  <c r="Z49" i="6" s="1"/>
  <c r="Z50" i="6" s="1"/>
  <c r="Z51" i="6" s="1"/>
  <c r="Z52" i="6" s="1"/>
  <c r="Z53" i="6" s="1"/>
  <c r="Z54" i="6" s="1"/>
  <c r="F1145" i="1"/>
  <c r="E101" i="1"/>
  <c r="G120" i="1"/>
  <c r="E100" i="1"/>
  <c r="G129" i="1"/>
  <c r="E47" i="1"/>
  <c r="D1096" i="1" s="1"/>
  <c r="D1097" i="1" s="1"/>
  <c r="F1115" i="1"/>
  <c r="D1494" i="1"/>
  <c r="D1512" i="1"/>
  <c r="E1573" i="1"/>
  <c r="C1577" i="1"/>
  <c r="H1489" i="1"/>
  <c r="I1517" i="1"/>
  <c r="I1507" i="1"/>
  <c r="F1490" i="1"/>
  <c r="G1508" i="1"/>
  <c r="F1150" i="1"/>
  <c r="O1443" i="1" s="1"/>
  <c r="I1487" i="1"/>
  <c r="C1553" i="1"/>
  <c r="C1527" i="1"/>
  <c r="H1499" i="1"/>
  <c r="D1527" i="1"/>
  <c r="C1494" i="1"/>
  <c r="D1578" i="1"/>
  <c r="H1507" i="1"/>
  <c r="K1500" i="1"/>
  <c r="K1501" i="1" s="1"/>
  <c r="K1502" i="1" s="1"/>
  <c r="K1503" i="1" s="1"/>
  <c r="F1121" i="1"/>
  <c r="K1444" i="1" s="1"/>
  <c r="G121" i="1"/>
  <c r="E107" i="1" s="1"/>
  <c r="H1566" i="1"/>
  <c r="D1508" i="1"/>
  <c r="E1508" i="1"/>
  <c r="I1499" i="1"/>
  <c r="F1129" i="1"/>
  <c r="F1165" i="1"/>
  <c r="Q1443" i="1" s="1"/>
  <c r="F1105" i="1"/>
  <c r="D1553" i="1"/>
  <c r="H1481" i="1"/>
  <c r="F1130" i="1"/>
  <c r="F1114" i="1"/>
  <c r="G134" i="1"/>
  <c r="D1577" i="1"/>
  <c r="C1576" i="1"/>
  <c r="I1566" i="1"/>
  <c r="C1552" i="1"/>
  <c r="K1543" i="1"/>
  <c r="K1544" i="1" s="1"/>
  <c r="K1545" i="1" s="1"/>
  <c r="K1546" i="1" s="1"/>
  <c r="K1547" i="1" s="1"/>
  <c r="K1548" i="1" s="1"/>
  <c r="C1554" i="1"/>
  <c r="H1541" i="1"/>
  <c r="K1536" i="1"/>
  <c r="K1537" i="1" s="1"/>
  <c r="K1538" i="1" s="1"/>
  <c r="K1539" i="1" s="1"/>
  <c r="K1540" i="1" s="1"/>
  <c r="K1541" i="1" s="1"/>
  <c r="C1528" i="1"/>
  <c r="H1523" i="1"/>
  <c r="E1524" i="1"/>
  <c r="K1518" i="1"/>
  <c r="K1519" i="1" s="1"/>
  <c r="K1520" i="1" s="1"/>
  <c r="C1493" i="1"/>
  <c r="I1489" i="1"/>
  <c r="C1578" i="1"/>
  <c r="D1576" i="1"/>
  <c r="K1568" i="1"/>
  <c r="I1567" i="1"/>
  <c r="H1567" i="1"/>
  <c r="D1554" i="1"/>
  <c r="D1552" i="1"/>
  <c r="H1542" i="1"/>
  <c r="H1517" i="1"/>
  <c r="D1493" i="1"/>
  <c r="K1482" i="1"/>
  <c r="K1483" i="1" s="1"/>
  <c r="K1484" i="1" s="1"/>
  <c r="K1485" i="1" s="1"/>
  <c r="I1481" i="1"/>
  <c r="B246" i="1"/>
  <c r="I1542" i="1"/>
  <c r="D1528" i="1"/>
  <c r="D1524" i="1"/>
  <c r="I1523" i="1"/>
  <c r="C1511" i="1"/>
  <c r="G1490" i="1"/>
  <c r="F1144" i="1"/>
  <c r="F1135" i="1"/>
  <c r="M1443" i="1" s="1"/>
  <c r="D1511" i="1"/>
  <c r="F1508" i="1"/>
  <c r="G128" i="1"/>
  <c r="C351" i="1"/>
  <c r="N1240" i="1" l="1"/>
  <c r="N1313" i="1" s="1"/>
  <c r="N1311" i="1"/>
  <c r="J1311" i="1"/>
  <c r="K1454" i="1"/>
  <c r="K1457" i="1" s="1"/>
  <c r="Q1454" i="1"/>
  <c r="Q1457" i="1" s="1"/>
  <c r="O1454" i="1"/>
  <c r="O1457" i="1" s="1"/>
  <c r="M1454" i="1"/>
  <c r="M1457" i="1" s="1"/>
  <c r="O1450" i="1"/>
  <c r="M1450" i="1"/>
  <c r="K1450" i="1"/>
  <c r="Q1450" i="1"/>
  <c r="K1445" i="1"/>
  <c r="K1446" i="1" s="1"/>
  <c r="L1445" i="1"/>
  <c r="L1446" i="1" s="1"/>
  <c r="O1445" i="1"/>
  <c r="O1446" i="1" s="1"/>
  <c r="P1445" i="1"/>
  <c r="P1446" i="1" s="1"/>
  <c r="R1445" i="1"/>
  <c r="R1446" i="1" s="1"/>
  <c r="Q1445" i="1"/>
  <c r="Q1446" i="1" s="1"/>
  <c r="N1445" i="1"/>
  <c r="N1446" i="1" s="1"/>
  <c r="M1445" i="1"/>
  <c r="M1446" i="1" s="1"/>
  <c r="J1240" i="1"/>
  <c r="J1313" i="1" s="1"/>
  <c r="L1311" i="1"/>
  <c r="L1240" i="1"/>
  <c r="L1313" i="1" s="1"/>
  <c r="R1240" i="1"/>
  <c r="R1313" i="1" s="1"/>
  <c r="R1311" i="1"/>
  <c r="P1311" i="1"/>
  <c r="P1240" i="1"/>
  <c r="P1313" i="1" s="1"/>
  <c r="B247" i="1"/>
  <c r="B248" i="1" s="1"/>
  <c r="B249" i="1" s="1"/>
  <c r="B250" i="1" s="1"/>
  <c r="B251" i="1" s="1"/>
  <c r="B252" i="1" s="1"/>
  <c r="B253" i="1" s="1"/>
  <c r="G119" i="1"/>
  <c r="E106" i="1"/>
  <c r="E48" i="1"/>
  <c r="D1091" i="1" s="1"/>
  <c r="E102" i="1"/>
  <c r="E108" i="1" s="1"/>
  <c r="E68" i="1"/>
  <c r="E74" i="1" s="1"/>
  <c r="E75" i="1" s="1"/>
  <c r="E76" i="1" s="1"/>
  <c r="E77" i="1" s="1"/>
  <c r="E82" i="1"/>
  <c r="E88" i="1" s="1"/>
  <c r="E53" i="1"/>
  <c r="E57" i="1"/>
  <c r="K1504" i="1"/>
  <c r="K1505" i="1" s="1"/>
  <c r="K1486" i="1"/>
  <c r="K1487" i="1" s="1"/>
  <c r="K1488" i="1" s="1"/>
  <c r="K1489" i="1" s="1"/>
  <c r="K1521" i="1"/>
  <c r="K1522" i="1" s="1"/>
  <c r="K1523" i="1" s="1"/>
  <c r="K1569" i="1"/>
  <c r="K1570" i="1" s="1"/>
  <c r="K1571" i="1" s="1"/>
  <c r="K1572" i="1" s="1"/>
  <c r="F1108" i="1"/>
  <c r="F1124" i="1"/>
  <c r="F1125" i="1" s="1"/>
  <c r="F1153" i="1"/>
  <c r="F1168" i="1"/>
  <c r="F1123" i="1"/>
  <c r="F1139" i="1"/>
  <c r="F1140" i="1" s="1"/>
  <c r="F1138" i="1"/>
  <c r="F1169" i="1"/>
  <c r="F1170" i="1" s="1"/>
  <c r="C355" i="1"/>
  <c r="F1109" i="1"/>
  <c r="F1112" i="1" s="1"/>
  <c r="J1421" i="1" s="1"/>
  <c r="J1462" i="1" s="1"/>
  <c r="F1154" i="1"/>
  <c r="F1155" i="1" s="1"/>
  <c r="Z11" i="6" l="1"/>
  <c r="Z12" i="6" s="1"/>
  <c r="O1458" i="1"/>
  <c r="P1458" i="1"/>
  <c r="R1458" i="1"/>
  <c r="Q1458" i="1"/>
  <c r="M1458" i="1"/>
  <c r="N1458" i="1"/>
  <c r="L1458" i="1"/>
  <c r="K1458" i="1"/>
  <c r="Q1451" i="1"/>
  <c r="R1451" i="1"/>
  <c r="L1451" i="1"/>
  <c r="K1451" i="1"/>
  <c r="M1451" i="1"/>
  <c r="N1451" i="1"/>
  <c r="P1451" i="1"/>
  <c r="O1451" i="1"/>
  <c r="N1447" i="1"/>
  <c r="M1447" i="1"/>
  <c r="O1447" i="1"/>
  <c r="P1447" i="1"/>
  <c r="R1447" i="1"/>
  <c r="Q1447" i="1"/>
  <c r="K1447" i="1"/>
  <c r="L1447" i="1"/>
  <c r="D25" i="1"/>
  <c r="D33" i="1" s="1"/>
  <c r="J171" i="1"/>
  <c r="D74" i="1"/>
  <c r="D75" i="1"/>
  <c r="F1141" i="1"/>
  <c r="F1126" i="1"/>
  <c r="K1506" i="1"/>
  <c r="K1507" i="1" s="1"/>
  <c r="F1157" i="1"/>
  <c r="F1156" i="1"/>
  <c r="F1142" i="1"/>
  <c r="C359" i="1"/>
  <c r="F1110" i="1"/>
  <c r="F1172" i="1"/>
  <c r="F1171" i="1"/>
  <c r="F1111" i="1"/>
  <c r="I1421" i="1" s="1"/>
  <c r="I1462" i="1" s="1"/>
  <c r="F1127" i="1"/>
  <c r="N1459" i="1" l="1"/>
  <c r="M1459" i="1"/>
  <c r="L1459" i="1"/>
  <c r="K1459" i="1"/>
  <c r="R1459" i="1"/>
  <c r="Q1459" i="1"/>
  <c r="O1459" i="1"/>
  <c r="P1459" i="1"/>
  <c r="I1178" i="1"/>
  <c r="D76" i="1"/>
  <c r="D77" i="1"/>
  <c r="C363" i="1"/>
  <c r="C45" i="6" l="1"/>
  <c r="C10" i="6"/>
  <c r="B45" i="6"/>
  <c r="G45" i="6" s="1"/>
  <c r="B34" i="6"/>
  <c r="G34" i="6" s="1"/>
  <c r="C18" i="6"/>
  <c r="B10" i="6"/>
  <c r="B18" i="6"/>
  <c r="C26" i="6"/>
  <c r="B26" i="6"/>
  <c r="C34" i="6"/>
  <c r="Q1438" i="1"/>
  <c r="O1438" i="1"/>
  <c r="M1438" i="1"/>
  <c r="K1438" i="1"/>
  <c r="C367" i="1"/>
  <c r="H26" i="6" l="1"/>
  <c r="D26" i="6"/>
  <c r="F26" i="6" s="1"/>
  <c r="E26" i="6" s="1"/>
  <c r="J34" i="6"/>
  <c r="I34" i="6"/>
  <c r="B35" i="6"/>
  <c r="B19" i="6"/>
  <c r="B20" i="6" s="1"/>
  <c r="I18" i="6"/>
  <c r="J18" i="6"/>
  <c r="B46" i="6"/>
  <c r="J45" i="6"/>
  <c r="I45" i="6"/>
  <c r="J10" i="6"/>
  <c r="B11" i="6"/>
  <c r="B12" i="6" s="1"/>
  <c r="I10" i="6"/>
  <c r="D10" i="6"/>
  <c r="F10" i="6" s="1"/>
  <c r="E10" i="6" s="1"/>
  <c r="H10" i="6"/>
  <c r="D34" i="6"/>
  <c r="F34" i="6" s="1"/>
  <c r="E34" i="6" s="1"/>
  <c r="H34" i="6"/>
  <c r="B27" i="6"/>
  <c r="B28" i="6" s="1"/>
  <c r="I26" i="6"/>
  <c r="J26" i="6"/>
  <c r="D18" i="6"/>
  <c r="F18" i="6" s="1"/>
  <c r="E18" i="6" s="1"/>
  <c r="H18" i="6"/>
  <c r="H45" i="6"/>
  <c r="D45" i="6"/>
  <c r="F45" i="6" s="1"/>
  <c r="E45" i="6" s="1"/>
  <c r="L1439" i="1"/>
  <c r="K1439" i="1"/>
  <c r="N1439" i="1"/>
  <c r="M1439" i="1"/>
  <c r="P1439" i="1"/>
  <c r="O1439" i="1"/>
  <c r="Q1439" i="1"/>
  <c r="R1439" i="1"/>
  <c r="C371" i="1"/>
  <c r="B47" i="6" l="1"/>
  <c r="G46" i="6"/>
  <c r="B36" i="6"/>
  <c r="G35" i="6"/>
  <c r="Y45" i="6"/>
  <c r="X45" i="6"/>
  <c r="I27" i="6"/>
  <c r="K26" i="6"/>
  <c r="X10" i="6"/>
  <c r="Y10" i="6"/>
  <c r="J11" i="6"/>
  <c r="J19" i="6"/>
  <c r="I35" i="6"/>
  <c r="K34" i="6"/>
  <c r="Y18" i="6"/>
  <c r="X18" i="6"/>
  <c r="I46" i="6"/>
  <c r="K45" i="6"/>
  <c r="I19" i="6"/>
  <c r="K19" i="6" s="1"/>
  <c r="K18" i="6"/>
  <c r="J35" i="6"/>
  <c r="Y34" i="6"/>
  <c r="X34" i="6"/>
  <c r="I11" i="6"/>
  <c r="K10" i="6"/>
  <c r="J46" i="6"/>
  <c r="J27" i="6"/>
  <c r="Y26" i="6"/>
  <c r="X26" i="6"/>
  <c r="Q1440" i="1"/>
  <c r="Q1441" i="1"/>
  <c r="M1441" i="1"/>
  <c r="M1440" i="1"/>
  <c r="O1440" i="1"/>
  <c r="O1441" i="1"/>
  <c r="K1441" i="1"/>
  <c r="K1440" i="1"/>
  <c r="C375" i="1"/>
  <c r="B37" i="6" l="1"/>
  <c r="G36" i="6"/>
  <c r="B48" i="6"/>
  <c r="G47" i="6"/>
  <c r="AF18" i="6"/>
  <c r="P18" i="6"/>
  <c r="Q18" i="6"/>
  <c r="L18" i="6"/>
  <c r="N18" i="6" s="1"/>
  <c r="M18" i="6"/>
  <c r="AA18" i="6"/>
  <c r="Y19" i="6"/>
  <c r="X19" i="6"/>
  <c r="AB18" i="6"/>
  <c r="M26" i="6"/>
  <c r="P26" i="6"/>
  <c r="Q26" i="6"/>
  <c r="L26" i="6"/>
  <c r="N26" i="6" s="1"/>
  <c r="AF26" i="6"/>
  <c r="AA26" i="6"/>
  <c r="Y27" i="6"/>
  <c r="X27" i="6"/>
  <c r="AB26" i="6"/>
  <c r="J28" i="6"/>
  <c r="AF10" i="6"/>
  <c r="P10" i="6"/>
  <c r="L10" i="6"/>
  <c r="N10" i="6" s="1"/>
  <c r="M10" i="6"/>
  <c r="Q10" i="6"/>
  <c r="M19" i="6"/>
  <c r="AF19" i="6"/>
  <c r="P19" i="6"/>
  <c r="Q19" i="6"/>
  <c r="T19" i="6" s="1"/>
  <c r="L19" i="6"/>
  <c r="N19" i="6" s="1"/>
  <c r="J12" i="6"/>
  <c r="I28" i="6"/>
  <c r="K28" i="6" s="1"/>
  <c r="K27" i="6"/>
  <c r="I12" i="6"/>
  <c r="K12" i="6" s="1"/>
  <c r="K11" i="6"/>
  <c r="AF45" i="6"/>
  <c r="P45" i="6"/>
  <c r="Q45" i="6"/>
  <c r="L45" i="6"/>
  <c r="N45" i="6" s="1"/>
  <c r="M45" i="6"/>
  <c r="M34" i="6"/>
  <c r="AF34" i="6"/>
  <c r="P34" i="6"/>
  <c r="Q34" i="6"/>
  <c r="L34" i="6"/>
  <c r="N34" i="6" s="1"/>
  <c r="I20" i="6"/>
  <c r="K20" i="6" s="1"/>
  <c r="J20" i="6"/>
  <c r="AA45" i="6"/>
  <c r="Y46" i="6"/>
  <c r="X46" i="6"/>
  <c r="AB45" i="6"/>
  <c r="J47" i="6"/>
  <c r="AA34" i="6"/>
  <c r="Y35" i="6"/>
  <c r="X35" i="6"/>
  <c r="AB34" i="6"/>
  <c r="J36" i="6"/>
  <c r="I47" i="6"/>
  <c r="K46" i="6"/>
  <c r="I36" i="6"/>
  <c r="K35" i="6"/>
  <c r="X11" i="6"/>
  <c r="Y11" i="6"/>
  <c r="AA10" i="6"/>
  <c r="AB10" i="6"/>
  <c r="C379" i="1"/>
  <c r="U19" i="6" l="1"/>
  <c r="S45" i="6"/>
  <c r="S19" i="6"/>
  <c r="AG19" i="6"/>
  <c r="S26" i="6"/>
  <c r="R26" i="6" s="1"/>
  <c r="S34" i="6"/>
  <c r="S18" i="6"/>
  <c r="R18" i="6" s="1"/>
  <c r="S10" i="6"/>
  <c r="R10" i="6" s="1"/>
  <c r="B49" i="6"/>
  <c r="G48" i="6"/>
  <c r="B38" i="6"/>
  <c r="G37" i="6"/>
  <c r="O10" i="6"/>
  <c r="O18" i="6"/>
  <c r="P35" i="6"/>
  <c r="L35" i="6"/>
  <c r="N35" i="6" s="1"/>
  <c r="M35" i="6"/>
  <c r="AF35" i="6"/>
  <c r="Q35" i="6"/>
  <c r="AC10" i="6"/>
  <c r="AE10" i="6" s="1"/>
  <c r="K36" i="6"/>
  <c r="I37" i="6"/>
  <c r="AC45" i="6"/>
  <c r="AE45" i="6" s="1"/>
  <c r="L20" i="6"/>
  <c r="N20" i="6" s="1"/>
  <c r="P20" i="6"/>
  <c r="Q20" i="6"/>
  <c r="AF20" i="6"/>
  <c r="M20" i="6"/>
  <c r="O20" i="6" s="1"/>
  <c r="T45" i="6"/>
  <c r="U45" i="6"/>
  <c r="P12" i="6"/>
  <c r="M12" i="6"/>
  <c r="AF12" i="6"/>
  <c r="L12" i="6"/>
  <c r="N12" i="6" s="1"/>
  <c r="Q12" i="6"/>
  <c r="T12" i="6" s="1"/>
  <c r="T26" i="6"/>
  <c r="U26" i="6"/>
  <c r="Y20" i="6"/>
  <c r="AB19" i="6"/>
  <c r="X20" i="6"/>
  <c r="AA19" i="6"/>
  <c r="Q46" i="6"/>
  <c r="AF46" i="6"/>
  <c r="M46" i="6"/>
  <c r="P46" i="6"/>
  <c r="L46" i="6"/>
  <c r="N46" i="6" s="1"/>
  <c r="J37" i="6"/>
  <c r="AC34" i="6"/>
  <c r="AD34" i="6" s="1"/>
  <c r="O34" i="6"/>
  <c r="R45" i="6"/>
  <c r="P27" i="6"/>
  <c r="AF27" i="6"/>
  <c r="L27" i="6"/>
  <c r="N27" i="6" s="1"/>
  <c r="M27" i="6"/>
  <c r="Q27" i="6"/>
  <c r="O19" i="6"/>
  <c r="AC26" i="6"/>
  <c r="AD26" i="6" s="1"/>
  <c r="T18" i="6"/>
  <c r="U18" i="6"/>
  <c r="K47" i="6"/>
  <c r="I48" i="6"/>
  <c r="X47" i="6"/>
  <c r="AA46" i="6"/>
  <c r="Y47" i="6"/>
  <c r="AB46" i="6"/>
  <c r="T34" i="6"/>
  <c r="W34" i="6" s="1"/>
  <c r="V34" i="6" s="1"/>
  <c r="U34" i="6"/>
  <c r="O45" i="6"/>
  <c r="P28" i="6"/>
  <c r="L28" i="6"/>
  <c r="N28" i="6" s="1"/>
  <c r="M28" i="6"/>
  <c r="Q28" i="6"/>
  <c r="U28" i="6" s="1"/>
  <c r="AF28" i="6"/>
  <c r="U10" i="6"/>
  <c r="T10" i="6"/>
  <c r="O26" i="6"/>
  <c r="AC18" i="6"/>
  <c r="AD18" i="6" s="1"/>
  <c r="X12" i="6"/>
  <c r="Y12" i="6"/>
  <c r="AA11" i="6"/>
  <c r="AB11" i="6"/>
  <c r="X36" i="6"/>
  <c r="AA35" i="6"/>
  <c r="Y36" i="6"/>
  <c r="AB35" i="6"/>
  <c r="J48" i="6"/>
  <c r="U20" i="6"/>
  <c r="T20" i="6"/>
  <c r="R34" i="6"/>
  <c r="L11" i="6"/>
  <c r="N11" i="6" s="1"/>
  <c r="AF11" i="6"/>
  <c r="P11" i="6"/>
  <c r="Q11" i="6"/>
  <c r="M11" i="6"/>
  <c r="O11" i="6" s="1"/>
  <c r="W19" i="6"/>
  <c r="V19" i="6" s="1"/>
  <c r="R19" i="6"/>
  <c r="X28" i="6"/>
  <c r="AA27" i="6"/>
  <c r="Y28" i="6"/>
  <c r="AB27" i="6"/>
  <c r="C383" i="1"/>
  <c r="W18" i="6" l="1"/>
  <c r="V18" i="6" s="1"/>
  <c r="O46" i="6"/>
  <c r="W10" i="6"/>
  <c r="V10" i="6" s="1"/>
  <c r="W26" i="6"/>
  <c r="V26" i="6" s="1"/>
  <c r="W45" i="6"/>
  <c r="V45" i="6" s="1"/>
  <c r="AG10" i="6"/>
  <c r="AG34" i="6"/>
  <c r="S27" i="6"/>
  <c r="R27" i="6" s="1"/>
  <c r="S12" i="6"/>
  <c r="R12" i="6" s="1"/>
  <c r="AG12" i="6"/>
  <c r="S35" i="6"/>
  <c r="R35" i="6" s="1"/>
  <c r="S28" i="6"/>
  <c r="R28" i="6" s="1"/>
  <c r="AG18" i="6"/>
  <c r="AG26" i="6"/>
  <c r="AG45" i="6"/>
  <c r="S11" i="6"/>
  <c r="R11" i="6" s="1"/>
  <c r="S46" i="6"/>
  <c r="R46" i="6" s="1"/>
  <c r="S20" i="6"/>
  <c r="R20" i="6" s="1"/>
  <c r="AG20" i="6"/>
  <c r="AE18" i="6"/>
  <c r="B39" i="6"/>
  <c r="G39" i="6" s="1"/>
  <c r="G38" i="6"/>
  <c r="B50" i="6"/>
  <c r="G49" i="6"/>
  <c r="O28" i="6"/>
  <c r="AE34" i="6"/>
  <c r="AE26" i="6"/>
  <c r="AD10" i="6"/>
  <c r="O35" i="6"/>
  <c r="J49" i="6"/>
  <c r="AC27" i="6"/>
  <c r="AE27" i="6" s="1"/>
  <c r="AC11" i="6"/>
  <c r="AE11" i="6" s="1"/>
  <c r="I49" i="6"/>
  <c r="K48" i="6"/>
  <c r="T28" i="6"/>
  <c r="O27" i="6"/>
  <c r="AC19" i="6"/>
  <c r="AD19" i="6" s="1"/>
  <c r="U12" i="6"/>
  <c r="O12" i="6"/>
  <c r="Q36" i="6"/>
  <c r="L36" i="6"/>
  <c r="N36" i="6" s="1"/>
  <c r="AF36" i="6"/>
  <c r="P36" i="6"/>
  <c r="M36" i="6"/>
  <c r="AA28" i="6"/>
  <c r="AB28" i="6"/>
  <c r="U11" i="6"/>
  <c r="T11" i="6"/>
  <c r="AC35" i="6"/>
  <c r="AE35" i="6" s="1"/>
  <c r="M47" i="6"/>
  <c r="P47" i="6"/>
  <c r="AF47" i="6"/>
  <c r="Q47" i="6"/>
  <c r="L47" i="6"/>
  <c r="N47" i="6" s="1"/>
  <c r="AA20" i="6"/>
  <c r="AB20" i="6"/>
  <c r="AD45" i="6"/>
  <c r="X37" i="6"/>
  <c r="Y37" i="6"/>
  <c r="AA36" i="6"/>
  <c r="AB36" i="6"/>
  <c r="AB12" i="6"/>
  <c r="AA12" i="6"/>
  <c r="AC46" i="6"/>
  <c r="AE46" i="6" s="1"/>
  <c r="T27" i="6"/>
  <c r="U27" i="6"/>
  <c r="J38" i="6"/>
  <c r="AA47" i="6"/>
  <c r="X48" i="6"/>
  <c r="Y48" i="6"/>
  <c r="AB47" i="6"/>
  <c r="U46" i="6"/>
  <c r="T46" i="6"/>
  <c r="I38" i="6"/>
  <c r="K37" i="6"/>
  <c r="T35" i="6"/>
  <c r="U35" i="6"/>
  <c r="C387" i="1"/>
  <c r="W28" i="6" l="1"/>
  <c r="V28" i="6" s="1"/>
  <c r="W27" i="6"/>
  <c r="V27" i="6" s="1"/>
  <c r="W11" i="6"/>
  <c r="V11" i="6" s="1"/>
  <c r="W35" i="6"/>
  <c r="V35" i="6" s="1"/>
  <c r="AE19" i="6"/>
  <c r="W46" i="6"/>
  <c r="V46" i="6" s="1"/>
  <c r="S47" i="6"/>
  <c r="R47" i="6" s="1"/>
  <c r="S36" i="6"/>
  <c r="R36" i="6" s="1"/>
  <c r="AG11" i="6"/>
  <c r="AG27" i="6"/>
  <c r="AG28" i="6"/>
  <c r="AG46" i="6"/>
  <c r="W20" i="6"/>
  <c r="V20" i="6" s="1"/>
  <c r="AG35" i="6"/>
  <c r="W12" i="6"/>
  <c r="V12" i="6" s="1"/>
  <c r="B51" i="6"/>
  <c r="G50" i="6"/>
  <c r="AD35" i="6"/>
  <c r="Y38" i="6"/>
  <c r="AA37" i="6"/>
  <c r="AB37" i="6"/>
  <c r="AC20" i="6"/>
  <c r="AD20" i="6" s="1"/>
  <c r="Q48" i="6"/>
  <c r="L48" i="6"/>
  <c r="N48" i="6" s="1"/>
  <c r="P48" i="6"/>
  <c r="M48" i="6"/>
  <c r="AF48" i="6"/>
  <c r="AF37" i="6"/>
  <c r="M37" i="6"/>
  <c r="Q37" i="6"/>
  <c r="P37" i="6"/>
  <c r="L37" i="6"/>
  <c r="N37" i="6" s="1"/>
  <c r="AC47" i="6"/>
  <c r="AD47" i="6" s="1"/>
  <c r="AD46" i="6"/>
  <c r="AC28" i="6"/>
  <c r="AD28" i="6" s="1"/>
  <c r="I50" i="6"/>
  <c r="K49" i="6"/>
  <c r="AD27" i="6"/>
  <c r="J50" i="6"/>
  <c r="AC36" i="6"/>
  <c r="AD36" i="6" s="1"/>
  <c r="AA48" i="6"/>
  <c r="X49" i="6"/>
  <c r="AB48" i="6"/>
  <c r="Y49" i="6"/>
  <c r="K38" i="6"/>
  <c r="I39" i="6"/>
  <c r="K39" i="6" s="1"/>
  <c r="J39" i="6"/>
  <c r="AC12" i="6"/>
  <c r="AD12" i="6" s="1"/>
  <c r="X38" i="6"/>
  <c r="U47" i="6"/>
  <c r="T47" i="6"/>
  <c r="O47" i="6"/>
  <c r="O36" i="6"/>
  <c r="T36" i="6"/>
  <c r="U36" i="6"/>
  <c r="AD11" i="6"/>
  <c r="C391" i="1"/>
  <c r="W36" i="6" l="1"/>
  <c r="V36" i="6" s="1"/>
  <c r="O48" i="6"/>
  <c r="AC48" i="6"/>
  <c r="W47" i="6"/>
  <c r="V47" i="6" s="1"/>
  <c r="S37" i="6"/>
  <c r="R37" i="6" s="1"/>
  <c r="AG36" i="6"/>
  <c r="S48" i="6"/>
  <c r="AG47" i="6"/>
  <c r="B52" i="6"/>
  <c r="G51" i="6"/>
  <c r="AE12" i="6"/>
  <c r="AE28" i="6"/>
  <c r="M39" i="6"/>
  <c r="AF39" i="6"/>
  <c r="L39" i="6"/>
  <c r="N39" i="6" s="1"/>
  <c r="Q39" i="6"/>
  <c r="U39" i="6" s="1"/>
  <c r="P39" i="6"/>
  <c r="Q38" i="6"/>
  <c r="L38" i="6"/>
  <c r="N38" i="6" s="1"/>
  <c r="AF38" i="6"/>
  <c r="P38" i="6"/>
  <c r="M38" i="6"/>
  <c r="K50" i="6"/>
  <c r="I51" i="6"/>
  <c r="T37" i="6"/>
  <c r="W37" i="6" s="1"/>
  <c r="V37" i="6" s="1"/>
  <c r="U37" i="6"/>
  <c r="AE48" i="6"/>
  <c r="AD48" i="6"/>
  <c r="AA38" i="6"/>
  <c r="X39" i="6"/>
  <c r="Y39" i="6"/>
  <c r="AE36" i="6"/>
  <c r="J51" i="6"/>
  <c r="O37" i="6"/>
  <c r="R48" i="6"/>
  <c r="T39" i="6"/>
  <c r="AC37" i="6"/>
  <c r="AE37" i="6" s="1"/>
  <c r="X50" i="6"/>
  <c r="AA49" i="6"/>
  <c r="Y50" i="6"/>
  <c r="AB49" i="6"/>
  <c r="M49" i="6"/>
  <c r="L49" i="6"/>
  <c r="N49" i="6" s="1"/>
  <c r="Q49" i="6"/>
  <c r="P49" i="6"/>
  <c r="AF49" i="6"/>
  <c r="AE47" i="6"/>
  <c r="U48" i="6"/>
  <c r="T48" i="6"/>
  <c r="W48" i="6" s="1"/>
  <c r="V48" i="6" s="1"/>
  <c r="AE20" i="6"/>
  <c r="AB38" i="6"/>
  <c r="C395" i="1"/>
  <c r="C399" i="1" s="1"/>
  <c r="S38" i="6" l="1"/>
  <c r="R38" i="6" s="1"/>
  <c r="S39" i="6"/>
  <c r="R39" i="6" s="1"/>
  <c r="AG39" i="6"/>
  <c r="AG37" i="6"/>
  <c r="S49" i="6"/>
  <c r="R49" i="6" s="1"/>
  <c r="AG48" i="6"/>
  <c r="O38" i="6"/>
  <c r="B53" i="6"/>
  <c r="G52" i="6"/>
  <c r="O49" i="6"/>
  <c r="W39" i="6"/>
  <c r="V39" i="6" s="1"/>
  <c r="AD37" i="6"/>
  <c r="P50" i="6"/>
  <c r="M50" i="6"/>
  <c r="AF50" i="6"/>
  <c r="Q50" i="6"/>
  <c r="L50" i="6"/>
  <c r="N50" i="6" s="1"/>
  <c r="U49" i="6"/>
  <c r="T49" i="6"/>
  <c r="AA39" i="6"/>
  <c r="AB39" i="6"/>
  <c r="T38" i="6"/>
  <c r="U38" i="6"/>
  <c r="AC49" i="6"/>
  <c r="AE49" i="6" s="1"/>
  <c r="J52" i="6"/>
  <c r="AC38" i="6"/>
  <c r="AD38" i="6" s="1"/>
  <c r="X51" i="6"/>
  <c r="Y51" i="6"/>
  <c r="AA50" i="6"/>
  <c r="AB50" i="6"/>
  <c r="K51" i="6"/>
  <c r="I52" i="6"/>
  <c r="O39" i="6"/>
  <c r="C403" i="1"/>
  <c r="W49" i="6" l="1"/>
  <c r="V49" i="6" s="1"/>
  <c r="AB51" i="6"/>
  <c r="W38" i="6"/>
  <c r="V38" i="6" s="1"/>
  <c r="S50" i="6"/>
  <c r="R50" i="6" s="1"/>
  <c r="AG49" i="6"/>
  <c r="AG38" i="6"/>
  <c r="B54" i="6"/>
  <c r="G54" i="6" s="1"/>
  <c r="G53" i="6"/>
  <c r="K52" i="6"/>
  <c r="I53" i="6"/>
  <c r="AA51" i="6"/>
  <c r="Y52" i="6"/>
  <c r="X52" i="6"/>
  <c r="AC39" i="6"/>
  <c r="AE39" i="6" s="1"/>
  <c r="T50" i="6"/>
  <c r="U50" i="6"/>
  <c r="AF51" i="6"/>
  <c r="L51" i="6"/>
  <c r="N51" i="6" s="1"/>
  <c r="P51" i="6"/>
  <c r="M51" i="6"/>
  <c r="Q51" i="6"/>
  <c r="AC50" i="6"/>
  <c r="AE50" i="6" s="1"/>
  <c r="AE38" i="6"/>
  <c r="J53" i="6"/>
  <c r="AD49" i="6"/>
  <c r="O50" i="6"/>
  <c r="I159" i="1"/>
  <c r="J159" i="1"/>
  <c r="I161" i="1" s="1"/>
  <c r="I162" i="1" s="1"/>
  <c r="I180" i="1"/>
  <c r="W50" i="6" l="1"/>
  <c r="V50" i="6" s="1"/>
  <c r="AG50" i="6"/>
  <c r="S51" i="6"/>
  <c r="R51" i="6" s="1"/>
  <c r="AD50" i="6"/>
  <c r="J54" i="6"/>
  <c r="AD39" i="6"/>
  <c r="AC51" i="6"/>
  <c r="AD51" i="6" s="1"/>
  <c r="I54" i="6"/>
  <c r="K54" i="6" s="1"/>
  <c r="K53" i="6"/>
  <c r="T51" i="6"/>
  <c r="U51" i="6"/>
  <c r="O51" i="6"/>
  <c r="X53" i="6"/>
  <c r="AA52" i="6"/>
  <c r="AB52" i="6"/>
  <c r="Y53" i="6"/>
  <c r="L52" i="6"/>
  <c r="N52" i="6" s="1"/>
  <c r="P52" i="6"/>
  <c r="M52" i="6"/>
  <c r="AF52" i="6"/>
  <c r="Q52" i="6"/>
  <c r="M1187" i="1"/>
  <c r="O1187" i="1"/>
  <c r="Q1187" i="1"/>
  <c r="I1187" i="1"/>
  <c r="K1187" i="1"/>
  <c r="I182" i="1"/>
  <c r="I183" i="1" s="1"/>
  <c r="L180" i="1"/>
  <c r="J180" i="1"/>
  <c r="I189" i="1" s="1"/>
  <c r="I909" i="1" s="1"/>
  <c r="J161" i="1"/>
  <c r="K239" i="1" s="1"/>
  <c r="W51" i="6" l="1"/>
  <c r="V51" i="6" s="1"/>
  <c r="AG51" i="6"/>
  <c r="S52" i="6"/>
  <c r="R52" i="6" s="1"/>
  <c r="T52" i="6"/>
  <c r="U52" i="6"/>
  <c r="AF54" i="6"/>
  <c r="Q54" i="6"/>
  <c r="U54" i="6" s="1"/>
  <c r="P54" i="6"/>
  <c r="M54" i="6"/>
  <c r="L54" i="6"/>
  <c r="N54" i="6" s="1"/>
  <c r="O52" i="6"/>
  <c r="J164" i="1"/>
  <c r="I168" i="1" s="1"/>
  <c r="D3" i="6"/>
  <c r="D52" i="6" s="1"/>
  <c r="F52" i="6" s="1"/>
  <c r="E52" i="6" s="1"/>
  <c r="AC52" i="6"/>
  <c r="AD52" i="6" s="1"/>
  <c r="AE51" i="6"/>
  <c r="X54" i="6"/>
  <c r="Y54" i="6"/>
  <c r="AA53" i="6"/>
  <c r="AB53" i="6"/>
  <c r="M53" i="6"/>
  <c r="L53" i="6"/>
  <c r="N53" i="6" s="1"/>
  <c r="Q53" i="6"/>
  <c r="P53" i="6"/>
  <c r="AF53" i="6"/>
  <c r="J183" i="1"/>
  <c r="I184" i="1" s="1"/>
  <c r="I186" i="1" s="1"/>
  <c r="J1188" i="1"/>
  <c r="I1188" i="1"/>
  <c r="I1200" i="1" s="1"/>
  <c r="R1188" i="1"/>
  <c r="Q1188" i="1"/>
  <c r="Q1194" i="1" s="1"/>
  <c r="O1188" i="1"/>
  <c r="O1194" i="1" s="1"/>
  <c r="P1188" i="1"/>
  <c r="L1188" i="1"/>
  <c r="K1188" i="1"/>
  <c r="N1188" i="1"/>
  <c r="M1188" i="1"/>
  <c r="I916" i="1"/>
  <c r="J917" i="1" s="1"/>
  <c r="I164" i="1"/>
  <c r="J165" i="1" s="1"/>
  <c r="I165" i="1" s="1"/>
  <c r="W52" i="6" l="1"/>
  <c r="V52" i="6" s="1"/>
  <c r="S53" i="6"/>
  <c r="R53" i="6" s="1"/>
  <c r="S54" i="6"/>
  <c r="R54" i="6" s="1"/>
  <c r="AG52" i="6"/>
  <c r="T54" i="6"/>
  <c r="AB54" i="6"/>
  <c r="D53" i="6"/>
  <c r="F53" i="6" s="1"/>
  <c r="E53" i="6" s="1"/>
  <c r="O53" i="6"/>
  <c r="AA54" i="6"/>
  <c r="D4" i="6"/>
  <c r="D19" i="6"/>
  <c r="F19" i="6" s="1"/>
  <c r="E19" i="6" s="1"/>
  <c r="D46" i="6"/>
  <c r="F46" i="6" s="1"/>
  <c r="E46" i="6" s="1"/>
  <c r="D12" i="6"/>
  <c r="F12" i="6" s="1"/>
  <c r="E12" i="6" s="1"/>
  <c r="D28" i="6"/>
  <c r="F28" i="6" s="1"/>
  <c r="E28" i="6" s="1"/>
  <c r="D35" i="6"/>
  <c r="F35" i="6" s="1"/>
  <c r="E35" i="6" s="1"/>
  <c r="D20" i="6"/>
  <c r="F20" i="6" s="1"/>
  <c r="E20" i="6" s="1"/>
  <c r="D11" i="6"/>
  <c r="F11" i="6" s="1"/>
  <c r="E11" i="6" s="1"/>
  <c r="D27" i="6"/>
  <c r="F27" i="6" s="1"/>
  <c r="E27" i="6" s="1"/>
  <c r="D47" i="6"/>
  <c r="F47" i="6" s="1"/>
  <c r="E47" i="6" s="1"/>
  <c r="D36" i="6"/>
  <c r="F36" i="6" s="1"/>
  <c r="E36" i="6" s="1"/>
  <c r="D37" i="6"/>
  <c r="F37" i="6" s="1"/>
  <c r="E37" i="6" s="1"/>
  <c r="D48" i="6"/>
  <c r="F48" i="6" s="1"/>
  <c r="E48" i="6" s="1"/>
  <c r="D38" i="6"/>
  <c r="F38" i="6" s="1"/>
  <c r="E38" i="6" s="1"/>
  <c r="D39" i="6"/>
  <c r="F39" i="6" s="1"/>
  <c r="E39" i="6" s="1"/>
  <c r="D49" i="6"/>
  <c r="F49" i="6" s="1"/>
  <c r="E49" i="6" s="1"/>
  <c r="D50" i="6"/>
  <c r="F50" i="6" s="1"/>
  <c r="E50" i="6" s="1"/>
  <c r="D51" i="6"/>
  <c r="F51" i="6" s="1"/>
  <c r="E51" i="6" s="1"/>
  <c r="D54" i="6"/>
  <c r="F54" i="6" s="1"/>
  <c r="E54" i="6" s="1"/>
  <c r="T53" i="6"/>
  <c r="W53" i="6" s="1"/>
  <c r="V53" i="6" s="1"/>
  <c r="U53" i="6"/>
  <c r="AC53" i="6"/>
  <c r="AE53" i="6" s="1"/>
  <c r="O54" i="6"/>
  <c r="AE52" i="6"/>
  <c r="I217" i="1"/>
  <c r="I219" i="1" s="1"/>
  <c r="J220" i="1" s="1"/>
  <c r="J184" i="1"/>
  <c r="J187" i="1" s="1"/>
  <c r="I187" i="1" s="1"/>
  <c r="I256" i="1"/>
  <c r="K1190" i="1"/>
  <c r="K1196" i="1"/>
  <c r="K1234" i="1" s="1"/>
  <c r="Q1190" i="1"/>
  <c r="Q1196" i="1"/>
  <c r="Q1234" i="1" s="1"/>
  <c r="O1190" i="1"/>
  <c r="O1196" i="1"/>
  <c r="O1234" i="1" s="1"/>
  <c r="M1190" i="1"/>
  <c r="M1196" i="1"/>
  <c r="M1234" i="1" s="1"/>
  <c r="I1190" i="1"/>
  <c r="I1196" i="1"/>
  <c r="I1234" i="1" s="1"/>
  <c r="I1235" i="1" s="1"/>
  <c r="I1239" i="1" s="1"/>
  <c r="Q1200" i="1"/>
  <c r="Q1199" i="1"/>
  <c r="O1200" i="1"/>
  <c r="O1199" i="1"/>
  <c r="M1200" i="1"/>
  <c r="M1199" i="1"/>
  <c r="K1200" i="1"/>
  <c r="K1199" i="1"/>
  <c r="I1199" i="1"/>
  <c r="I275" i="1"/>
  <c r="I277" i="1" s="1"/>
  <c r="J278" i="1" s="1"/>
  <c r="I433" i="1" s="1"/>
  <c r="I434" i="1" s="1"/>
  <c r="I412" i="1"/>
  <c r="I414" i="1" s="1"/>
  <c r="I415" i="1" s="1"/>
  <c r="I417" i="1" s="1"/>
  <c r="I917" i="1"/>
  <c r="I919" i="1" s="1"/>
  <c r="J920" i="1" s="1"/>
  <c r="J190" i="1"/>
  <c r="J191" i="1" s="1"/>
  <c r="I191" i="1" s="1"/>
  <c r="I190" i="1"/>
  <c r="W54" i="6" l="1"/>
  <c r="V54" i="6" s="1"/>
  <c r="AG54" i="6"/>
  <c r="AG53" i="6"/>
  <c r="AD53" i="6"/>
  <c r="AC54" i="6"/>
  <c r="AE54" i="6" s="1"/>
  <c r="I1250" i="1"/>
  <c r="J1192" i="1"/>
  <c r="I1192" i="1" s="1"/>
  <c r="O1250" i="1"/>
  <c r="P1192" i="1"/>
  <c r="O1192" i="1" s="1"/>
  <c r="K1250" i="1"/>
  <c r="L1253" i="1" s="1"/>
  <c r="K1253" i="1" s="1"/>
  <c r="L1192" i="1"/>
  <c r="K1192" i="1" s="1"/>
  <c r="M1250" i="1"/>
  <c r="N1253" i="1" s="1"/>
  <c r="M1253" i="1" s="1"/>
  <c r="N1192" i="1"/>
  <c r="M1192" i="1" s="1"/>
  <c r="Q1250" i="1"/>
  <c r="R1192" i="1"/>
  <c r="Q1192" i="1" s="1"/>
  <c r="M1251" i="1"/>
  <c r="M1210" i="1"/>
  <c r="M1213" i="1" s="1"/>
  <c r="Q1210" i="1"/>
  <c r="Q1213" i="1" s="1"/>
  <c r="O1210" i="1"/>
  <c r="O1213" i="1" s="1"/>
  <c r="K1210" i="1"/>
  <c r="K1213" i="1" s="1"/>
  <c r="I630" i="1"/>
  <c r="I631" i="1" s="1"/>
  <c r="J632" i="1" s="1"/>
  <c r="J633" i="1" s="1"/>
  <c r="I222" i="1"/>
  <c r="I1210" i="1"/>
  <c r="I1213" i="1" s="1"/>
  <c r="J1235" i="1"/>
  <c r="J1239" i="1" s="1"/>
  <c r="J1242" i="1" s="1"/>
  <c r="N1235" i="1"/>
  <c r="N1239" i="1" s="1"/>
  <c r="M1235" i="1"/>
  <c r="M1239" i="1" s="1"/>
  <c r="R1235" i="1"/>
  <c r="R1239" i="1" s="1"/>
  <c r="Q1235" i="1"/>
  <c r="Q1239" i="1" s="1"/>
  <c r="P1235" i="1"/>
  <c r="P1239" i="1" s="1"/>
  <c r="O1235" i="1"/>
  <c r="O1239" i="1" s="1"/>
  <c r="L1235" i="1"/>
  <c r="L1239" i="1" s="1"/>
  <c r="K1235" i="1"/>
  <c r="K1239" i="1" s="1"/>
  <c r="I317" i="1"/>
  <c r="I318" i="1" s="1"/>
  <c r="J319" i="1" s="1"/>
  <c r="I220" i="1"/>
  <c r="I264" i="1"/>
  <c r="J265" i="1" s="1"/>
  <c r="P1201" i="1"/>
  <c r="P1202" i="1" s="1"/>
  <c r="O1201" i="1"/>
  <c r="O1202" i="1" s="1"/>
  <c r="R1201" i="1"/>
  <c r="R1202" i="1" s="1"/>
  <c r="Q1201" i="1"/>
  <c r="Q1202" i="1" s="1"/>
  <c r="Q1204" i="1" s="1"/>
  <c r="N1201" i="1"/>
  <c r="N1202" i="1" s="1"/>
  <c r="M1201" i="1"/>
  <c r="M1202" i="1" s="1"/>
  <c r="M1204" i="1" s="1"/>
  <c r="L1201" i="1"/>
  <c r="L1202" i="1" s="1"/>
  <c r="K1201" i="1"/>
  <c r="K1202" i="1" s="1"/>
  <c r="K1204" i="1" s="1"/>
  <c r="J1201" i="1"/>
  <c r="J1202" i="1" s="1"/>
  <c r="I1201" i="1"/>
  <c r="I1202" i="1" s="1"/>
  <c r="E287" i="1"/>
  <c r="J940" i="1"/>
  <c r="E1027" i="1" s="1"/>
  <c r="F1027" i="1" s="1"/>
  <c r="E1026" i="1"/>
  <c r="F1026" i="1" s="1"/>
  <c r="J415" i="1"/>
  <c r="I278" i="1"/>
  <c r="I280"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I920" i="1"/>
  <c r="Q1026" i="1" s="1"/>
  <c r="I435" i="1"/>
  <c r="I438" i="1" s="1"/>
  <c r="J435" i="1"/>
  <c r="J418" i="1"/>
  <c r="D426" i="1" s="1"/>
  <c r="I426" i="1" s="1"/>
  <c r="I418" i="1"/>
  <c r="AD54" i="6" l="1"/>
  <c r="I265" i="1"/>
  <c r="I269" i="1" s="1"/>
  <c r="J270" i="1" s="1"/>
  <c r="I270" i="1" s="1"/>
  <c r="K1251" i="1"/>
  <c r="K1266" i="1" s="1"/>
  <c r="O1251" i="1"/>
  <c r="O1266" i="1" s="1"/>
  <c r="P1253" i="1"/>
  <c r="O1253" i="1" s="1"/>
  <c r="Q1251" i="1"/>
  <c r="Q1266" i="1" s="1"/>
  <c r="R1253" i="1"/>
  <c r="Q1253" i="1" s="1"/>
  <c r="I1251" i="1"/>
  <c r="J1255" i="1" s="1"/>
  <c r="I1256" i="1" s="1"/>
  <c r="J1253" i="1"/>
  <c r="I1253" i="1" s="1"/>
  <c r="N1255" i="1"/>
  <c r="M1256" i="1" s="1"/>
  <c r="N1257" i="1" s="1"/>
  <c r="M1261" i="1" s="1"/>
  <c r="M1255" i="1"/>
  <c r="M1266" i="1"/>
  <c r="M1224" i="1"/>
  <c r="O1224" i="1"/>
  <c r="K1224" i="1"/>
  <c r="Q1224" i="1"/>
  <c r="I632" i="1"/>
  <c r="I633" i="1" s="1"/>
  <c r="I319" i="1"/>
  <c r="I320" i="1" s="1"/>
  <c r="I225" i="1"/>
  <c r="I227" i="1" s="1"/>
  <c r="I228" i="1" s="1"/>
  <c r="M1242" i="1"/>
  <c r="I1242" i="1"/>
  <c r="L1242" i="1"/>
  <c r="O1242" i="1"/>
  <c r="P1242" i="1"/>
  <c r="N1242" i="1"/>
  <c r="K1242" i="1"/>
  <c r="Q1242" i="1"/>
  <c r="R1242" i="1"/>
  <c r="I450" i="1"/>
  <c r="I1224" i="1"/>
  <c r="I1204" i="1"/>
  <c r="O1204" i="1"/>
  <c r="P1204" i="1"/>
  <c r="R1204" i="1"/>
  <c r="N1204" i="1"/>
  <c r="L1204" i="1"/>
  <c r="J1204" i="1"/>
  <c r="M1026" i="1"/>
  <c r="N1026" i="1" s="1"/>
  <c r="U1026" i="1"/>
  <c r="T1026" i="1"/>
  <c r="S1026" i="1" s="1"/>
  <c r="R1026" i="1"/>
  <c r="C1026" i="1" s="1"/>
  <c r="F288" i="1"/>
  <c r="E288" i="1"/>
  <c r="J958" i="1"/>
  <c r="E1028" i="1" s="1"/>
  <c r="F1028" i="1" s="1"/>
  <c r="I953" i="1"/>
  <c r="I995" i="1"/>
  <c r="I940" i="1"/>
  <c r="Q1027" i="1" s="1"/>
  <c r="J282" i="1"/>
  <c r="H287" i="1" s="1"/>
  <c r="J922" i="1"/>
  <c r="I931" i="1" s="1"/>
  <c r="I922" i="1"/>
  <c r="D427" i="1"/>
  <c r="I427" i="1" s="1"/>
  <c r="E427" i="1"/>
  <c r="I420" i="1"/>
  <c r="C426" i="1"/>
  <c r="I724" i="1" l="1"/>
  <c r="I726" i="1" s="1"/>
  <c r="J727" i="1" s="1"/>
  <c r="J728" i="1" s="1"/>
  <c r="J730"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I1266" i="1"/>
  <c r="L1255" i="1"/>
  <c r="K1256" i="1" s="1"/>
  <c r="L1257" i="1" s="1"/>
  <c r="K1261" i="1" s="1"/>
  <c r="O1255" i="1"/>
  <c r="P1255" i="1"/>
  <c r="O1256" i="1" s="1"/>
  <c r="P1257" i="1" s="1"/>
  <c r="O1261" i="1" s="1"/>
  <c r="Q1267" i="1"/>
  <c r="Q1268" i="1" s="1"/>
  <c r="Q1330" i="1" s="1"/>
  <c r="M1267" i="1"/>
  <c r="M1268" i="1" s="1"/>
  <c r="M1330" i="1" s="1"/>
  <c r="O1267" i="1"/>
  <c r="O1268" i="1" s="1"/>
  <c r="O1330" i="1" s="1"/>
  <c r="K1267" i="1"/>
  <c r="K1268" i="1" s="1"/>
  <c r="K1330" i="1" s="1"/>
  <c r="I1267" i="1"/>
  <c r="J1268" i="1" s="1"/>
  <c r="J1330" i="1" s="1"/>
  <c r="M1257" i="1"/>
  <c r="N1259" i="1" s="1"/>
  <c r="M1259" i="1" s="1"/>
  <c r="K1255" i="1"/>
  <c r="Q1255" i="1"/>
  <c r="R1255" i="1"/>
  <c r="Q1256" i="1" s="1"/>
  <c r="M1217" i="1"/>
  <c r="N1218" i="1" s="1"/>
  <c r="M1225" i="1" s="1"/>
  <c r="M1226" i="1" s="1"/>
  <c r="O1217" i="1"/>
  <c r="O1218" i="1" s="1"/>
  <c r="O1220" i="1" s="1"/>
  <c r="P1221" i="1" s="1"/>
  <c r="O1221" i="1" s="1"/>
  <c r="Q1217" i="1"/>
  <c r="R1218" i="1" s="1"/>
  <c r="Q1225" i="1" s="1"/>
  <c r="Q1226" i="1" s="1"/>
  <c r="K1217" i="1"/>
  <c r="L1218" i="1" s="1"/>
  <c r="K1225" i="1" s="1"/>
  <c r="K1226" i="1" s="1"/>
  <c r="I1217" i="1"/>
  <c r="I1218" i="1" s="1"/>
  <c r="I1220" i="1" s="1"/>
  <c r="J1221" i="1" s="1"/>
  <c r="Q1243" i="1"/>
  <c r="R1244" i="1" s="1"/>
  <c r="O1243" i="1"/>
  <c r="O1244" i="1" s="1"/>
  <c r="I1255" i="1"/>
  <c r="I636" i="1"/>
  <c r="I638" i="1" s="1"/>
  <c r="J639" i="1" s="1"/>
  <c r="J228" i="1"/>
  <c r="I230" i="1"/>
  <c r="I1257" i="1"/>
  <c r="J1257" i="1"/>
  <c r="I1243" i="1"/>
  <c r="I1244" i="1" s="1"/>
  <c r="M1243" i="1"/>
  <c r="N1244" i="1" s="1"/>
  <c r="K1243" i="1"/>
  <c r="L1244" i="1" s="1"/>
  <c r="I1205" i="1"/>
  <c r="J1206" i="1" s="1"/>
  <c r="Q1205" i="1"/>
  <c r="R1206" i="1" s="1"/>
  <c r="K1205" i="1"/>
  <c r="K1206" i="1" s="1"/>
  <c r="M1205" i="1"/>
  <c r="N1206" i="1" s="1"/>
  <c r="O1205" i="1"/>
  <c r="M1027" i="1"/>
  <c r="N1027" i="1" s="1"/>
  <c r="T1027" i="1"/>
  <c r="S1027" i="1" s="1"/>
  <c r="U1027" i="1"/>
  <c r="R1027" i="1"/>
  <c r="C1027" i="1" s="1"/>
  <c r="H288" i="1"/>
  <c r="G288" i="1" s="1"/>
  <c r="I321" i="1"/>
  <c r="D5" i="6" s="1"/>
  <c r="D351" i="1"/>
  <c r="E351" i="1" s="1"/>
  <c r="F289" i="1"/>
  <c r="E289" i="1"/>
  <c r="J970" i="1"/>
  <c r="E1029" i="1" s="1"/>
  <c r="F1029" i="1" s="1"/>
  <c r="I967" i="1"/>
  <c r="I958" i="1"/>
  <c r="J439" i="1"/>
  <c r="I439" i="1" s="1"/>
  <c r="I282" i="1"/>
  <c r="G287" i="1" s="1"/>
  <c r="J944" i="1"/>
  <c r="I944" i="1"/>
  <c r="I932" i="1"/>
  <c r="J933" i="1" s="1"/>
  <c r="I935" i="1" s="1"/>
  <c r="C427" i="1"/>
  <c r="F427" i="1" s="1"/>
  <c r="H427" i="1" s="1"/>
  <c r="G427" i="1" s="1"/>
  <c r="J421" i="1"/>
  <c r="F426" i="1"/>
  <c r="E428" i="1"/>
  <c r="D428" i="1"/>
  <c r="I428" i="1" s="1"/>
  <c r="I727" i="1" l="1"/>
  <c r="K1257" i="1"/>
  <c r="L1259" i="1" s="1"/>
  <c r="K1259" i="1" s="1"/>
  <c r="O1257" i="1"/>
  <c r="P1259" i="1" s="1"/>
  <c r="O1259" i="1" s="1"/>
  <c r="E239" i="1"/>
  <c r="I239" i="1" s="1"/>
  <c r="K240" i="1" s="1"/>
  <c r="J450" i="1"/>
  <c r="I452" i="1" s="1"/>
  <c r="I453" i="1" s="1"/>
  <c r="Q1218" i="1"/>
  <c r="Q1220" i="1" s="1"/>
  <c r="R1221" i="1" s="1"/>
  <c r="Q1221" i="1" s="1"/>
  <c r="D239" i="1"/>
  <c r="I1268" i="1"/>
  <c r="I1330" i="1" s="1"/>
  <c r="K1218" i="1"/>
  <c r="K1220" i="1" s="1"/>
  <c r="L1221" i="1" s="1"/>
  <c r="K1221" i="1" s="1"/>
  <c r="I639" i="1"/>
  <c r="I728" i="1"/>
  <c r="I730" i="1" s="1"/>
  <c r="K770" i="1" s="1"/>
  <c r="J232" i="1"/>
  <c r="I232" i="1" s="1"/>
  <c r="G239" i="1" s="1"/>
  <c r="J1218" i="1"/>
  <c r="I1225" i="1" s="1"/>
  <c r="I1226" i="1" s="1"/>
  <c r="J1227" i="1" s="1"/>
  <c r="M1218" i="1"/>
  <c r="M1220" i="1" s="1"/>
  <c r="N1221" i="1" s="1"/>
  <c r="M1221" i="1" s="1"/>
  <c r="P1218" i="1"/>
  <c r="O1225" i="1" s="1"/>
  <c r="O1226" i="1" s="1"/>
  <c r="P1227" i="1" s="1"/>
  <c r="R1257" i="1"/>
  <c r="Q1261" i="1" s="1"/>
  <c r="Q1257" i="1"/>
  <c r="R1259" i="1" s="1"/>
  <c r="Q1259" i="1" s="1"/>
  <c r="K1208" i="1"/>
  <c r="L1209" i="1" s="1"/>
  <c r="Q1212" i="1"/>
  <c r="M1212" i="1"/>
  <c r="I1212" i="1"/>
  <c r="J1244" i="1"/>
  <c r="P1244" i="1"/>
  <c r="Q1244" i="1"/>
  <c r="K1244" i="1"/>
  <c r="M1244" i="1"/>
  <c r="L1268" i="1"/>
  <c r="N1268" i="1"/>
  <c r="Q1270" i="1"/>
  <c r="Q1334" i="1" s="1"/>
  <c r="Q1389" i="1" s="1"/>
  <c r="O1270" i="1"/>
  <c r="O1334" i="1" s="1"/>
  <c r="O1389" i="1" s="1"/>
  <c r="P1268" i="1"/>
  <c r="O1271" i="1" s="1"/>
  <c r="O1274" i="1" s="1"/>
  <c r="R1268" i="1"/>
  <c r="I1261" i="1"/>
  <c r="O1292" i="1"/>
  <c r="O1291" i="1"/>
  <c r="K1292" i="1"/>
  <c r="K1291" i="1"/>
  <c r="Q1291" i="1"/>
  <c r="Q1292" i="1"/>
  <c r="M1292" i="1"/>
  <c r="M1291" i="1"/>
  <c r="I1271" i="1"/>
  <c r="I1274" i="1" s="1"/>
  <c r="I1269" i="1"/>
  <c r="J814" i="1"/>
  <c r="I814" i="1"/>
  <c r="I234" i="1"/>
  <c r="J717" i="1"/>
  <c r="I1206" i="1"/>
  <c r="N1227" i="1"/>
  <c r="M1227" i="1"/>
  <c r="R1227" i="1"/>
  <c r="Q1227" i="1"/>
  <c r="K1227" i="1"/>
  <c r="L1227" i="1"/>
  <c r="Q1206" i="1"/>
  <c r="L1206" i="1"/>
  <c r="M1206" i="1"/>
  <c r="O1206" i="1"/>
  <c r="P1206" i="1"/>
  <c r="I1221" i="1"/>
  <c r="I959" i="1"/>
  <c r="Q1028" i="1"/>
  <c r="H289" i="1"/>
  <c r="G289" i="1" s="1"/>
  <c r="D355" i="1"/>
  <c r="J982" i="1"/>
  <c r="E1030" i="1" s="1"/>
  <c r="F1030" i="1" s="1"/>
  <c r="E290" i="1"/>
  <c r="F290" i="1"/>
  <c r="I979" i="1"/>
  <c r="I999" i="1"/>
  <c r="I997" i="1"/>
  <c r="I970" i="1"/>
  <c r="Q1029" i="1" s="1"/>
  <c r="J959" i="1"/>
  <c r="I945" i="1"/>
  <c r="I946" i="1" s="1"/>
  <c r="I933" i="1"/>
  <c r="J761" i="1"/>
  <c r="J762" i="1" s="1"/>
  <c r="C503" i="1"/>
  <c r="C792" i="1"/>
  <c r="I640" i="1"/>
  <c r="J640" i="1"/>
  <c r="C428" i="1"/>
  <c r="F428" i="1" s="1"/>
  <c r="H428" i="1" s="1"/>
  <c r="G428" i="1" s="1"/>
  <c r="I421" i="1"/>
  <c r="G426" i="1" s="1"/>
  <c r="H426" i="1"/>
  <c r="D429" i="1"/>
  <c r="I429" i="1" s="1"/>
  <c r="E429" i="1"/>
  <c r="H347" i="1" l="1"/>
  <c r="J347" i="1" s="1"/>
  <c r="E240" i="1"/>
  <c r="E241" i="1" s="1"/>
  <c r="F240" i="1"/>
  <c r="I1291" i="1"/>
  <c r="D240" i="1"/>
  <c r="J454" i="1"/>
  <c r="J456"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I454" i="1"/>
  <c r="I770" i="1"/>
  <c r="H770" i="1" s="1"/>
  <c r="I1292" i="1"/>
  <c r="J1293" i="1" s="1"/>
  <c r="J1294" i="1" s="1"/>
  <c r="J1331" i="1" s="1"/>
  <c r="I680" i="1"/>
  <c r="H680" i="1" s="1"/>
  <c r="H239" i="1"/>
  <c r="H240" i="1" s="1"/>
  <c r="G351" i="1" s="1"/>
  <c r="D334" i="1"/>
  <c r="C339" i="1" s="1"/>
  <c r="K347" i="1" s="1"/>
  <c r="L347" i="1" s="1"/>
  <c r="M347" i="1" s="1"/>
  <c r="I791" i="1"/>
  <c r="H791" i="1" s="1"/>
  <c r="I1227" i="1"/>
  <c r="J1228" i="1" s="1"/>
  <c r="I1302" i="1"/>
  <c r="I1327" i="1"/>
  <c r="O1227" i="1"/>
  <c r="O1228" i="1" s="1"/>
  <c r="P1229" i="1" s="1"/>
  <c r="O1229" i="1" s="1"/>
  <c r="K1209" i="1"/>
  <c r="I1305" i="1"/>
  <c r="Q1269" i="1"/>
  <c r="R1330" i="1"/>
  <c r="M1269" i="1"/>
  <c r="N1330" i="1"/>
  <c r="O1269" i="1"/>
  <c r="P1330" i="1"/>
  <c r="K1271" i="1"/>
  <c r="K1274" i="1" s="1"/>
  <c r="K1275" i="1" s="1"/>
  <c r="K1310" i="1" s="1"/>
  <c r="K1312" i="1" s="1"/>
  <c r="L1330" i="1"/>
  <c r="K1269" i="1"/>
  <c r="L1210" i="1"/>
  <c r="O1212" i="1"/>
  <c r="M1208" i="1"/>
  <c r="M1209" i="1" s="1"/>
  <c r="O1208" i="1"/>
  <c r="O1209" i="1" s="1"/>
  <c r="K1212" i="1"/>
  <c r="L1213" i="1" s="1"/>
  <c r="Q1208" i="1"/>
  <c r="Q1209" i="1" s="1"/>
  <c r="I1208" i="1"/>
  <c r="M1271" i="1"/>
  <c r="M1274" i="1" s="1"/>
  <c r="N1275" i="1" s="1"/>
  <c r="Q1271" i="1"/>
  <c r="Q1274" i="1" s="1"/>
  <c r="Q1275" i="1" s="1"/>
  <c r="Q1310" i="1" s="1"/>
  <c r="Q1312" i="1" s="1"/>
  <c r="N1293" i="1"/>
  <c r="N1294" i="1" s="1"/>
  <c r="N1331" i="1" s="1"/>
  <c r="M1293" i="1"/>
  <c r="M1294" i="1" s="1"/>
  <c r="L1293" i="1"/>
  <c r="L1294" i="1" s="1"/>
  <c r="L1331" i="1" s="1"/>
  <c r="K1293" i="1"/>
  <c r="K1294" i="1" s="1"/>
  <c r="Q1293" i="1"/>
  <c r="Q1294" i="1" s="1"/>
  <c r="R1293" i="1"/>
  <c r="R1294" i="1" s="1"/>
  <c r="R1331" i="1" s="1"/>
  <c r="R1337" i="1" s="1"/>
  <c r="R1338" i="1" s="1"/>
  <c r="O1293" i="1"/>
  <c r="O1294" i="1" s="1"/>
  <c r="P1293" i="1"/>
  <c r="P1294" i="1" s="1"/>
  <c r="P1331" i="1" s="1"/>
  <c r="P1337" i="1" s="1"/>
  <c r="P1338" i="1" s="1"/>
  <c r="C429" i="1"/>
  <c r="F429" i="1" s="1"/>
  <c r="H429" i="1" s="1"/>
  <c r="G429" i="1" s="1"/>
  <c r="J1275" i="1"/>
  <c r="I1275" i="1"/>
  <c r="I1310" i="1" s="1"/>
  <c r="I1312" i="1" s="1"/>
  <c r="O1275" i="1"/>
  <c r="O1310" i="1" s="1"/>
  <c r="O1312" i="1" s="1"/>
  <c r="P1275" i="1"/>
  <c r="H348" i="1"/>
  <c r="I348" i="1"/>
  <c r="I240" i="1"/>
  <c r="K241" i="1" s="1"/>
  <c r="F241" i="1"/>
  <c r="H351" i="1"/>
  <c r="D241" i="1"/>
  <c r="H290" i="1"/>
  <c r="G290" i="1" s="1"/>
  <c r="M1228" i="1"/>
  <c r="N1229" i="1" s="1"/>
  <c r="M1229" i="1" s="1"/>
  <c r="N1228" i="1"/>
  <c r="K1228" i="1"/>
  <c r="L1229" i="1" s="1"/>
  <c r="K1229" i="1" s="1"/>
  <c r="L1228" i="1"/>
  <c r="Q1228" i="1"/>
  <c r="R1229" i="1" s="1"/>
  <c r="Q1229" i="1" s="1"/>
  <c r="R1228" i="1"/>
  <c r="J1259" i="1"/>
  <c r="M1029" i="1"/>
  <c r="N1029" i="1" s="1"/>
  <c r="M1028" i="1"/>
  <c r="N1028" i="1" s="1"/>
  <c r="U1029" i="1"/>
  <c r="T1029" i="1"/>
  <c r="S1029" i="1" s="1"/>
  <c r="T1028" i="1"/>
  <c r="S1028" i="1" s="1"/>
  <c r="U1028" i="1"/>
  <c r="R1028" i="1"/>
  <c r="C1028" i="1" s="1"/>
  <c r="R1029" i="1"/>
  <c r="C1029" i="1" s="1"/>
  <c r="I923" i="1"/>
  <c r="J927" i="1" s="1"/>
  <c r="I947" i="1"/>
  <c r="J948" i="1" s="1"/>
  <c r="I960" i="1"/>
  <c r="I961" i="1" s="1"/>
  <c r="E355" i="1"/>
  <c r="D359" i="1"/>
  <c r="I991" i="1"/>
  <c r="E291" i="1"/>
  <c r="F291" i="1"/>
  <c r="J1000" i="1"/>
  <c r="I1000" i="1"/>
  <c r="I1001" i="1" s="1"/>
  <c r="I982" i="1"/>
  <c r="J971" i="1"/>
  <c r="I971" i="1"/>
  <c r="J946" i="1"/>
  <c r="I950" i="1" s="1"/>
  <c r="K771" i="1"/>
  <c r="D771" i="1" s="1"/>
  <c r="K791" i="1"/>
  <c r="F347" i="1"/>
  <c r="J642" i="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I733" i="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C512" i="1" l="1"/>
  <c r="I771" i="1"/>
  <c r="I1357" i="1"/>
  <c r="I681" i="1"/>
  <c r="H681" i="1" s="1"/>
  <c r="I1293" i="1"/>
  <c r="I1294" i="1" s="1"/>
  <c r="I1296" i="1" s="1"/>
  <c r="I456" i="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1259" i="1"/>
  <c r="G347" i="1"/>
  <c r="G348" i="1" s="1"/>
  <c r="F348" i="1" s="1"/>
  <c r="P1349" i="1"/>
  <c r="P1350" i="1" s="1"/>
  <c r="P1408" i="1"/>
  <c r="R1349" i="1"/>
  <c r="R1350" i="1" s="1"/>
  <c r="R1408" i="1"/>
  <c r="D339" i="1"/>
  <c r="E339" i="1" s="1"/>
  <c r="F339" i="1" s="1"/>
  <c r="G339" i="1" s="1"/>
  <c r="K348" i="1"/>
  <c r="L348" i="1" s="1"/>
  <c r="M348" i="1" s="1"/>
  <c r="C340" i="1"/>
  <c r="C341" i="1" s="1"/>
  <c r="D341" i="1" s="1"/>
  <c r="E341" i="1" s="1"/>
  <c r="F341" i="1" s="1"/>
  <c r="G341" i="1" s="1"/>
  <c r="J1329" i="1"/>
  <c r="P1209" i="1"/>
  <c r="P1210" i="1" s="1"/>
  <c r="P1213" i="1" s="1"/>
  <c r="R1209" i="1"/>
  <c r="R1210" i="1" s="1"/>
  <c r="R1213" i="1" s="1"/>
  <c r="N1337" i="1"/>
  <c r="N1338" i="1" s="1"/>
  <c r="L1337" i="1"/>
  <c r="L1338" i="1" s="1"/>
  <c r="J1337" i="1"/>
  <c r="J1338" i="1" s="1"/>
  <c r="P1228" i="1"/>
  <c r="I1228" i="1"/>
  <c r="G240" i="1"/>
  <c r="F351" i="1" s="1"/>
  <c r="N347" i="1"/>
  <c r="K1302" i="1"/>
  <c r="K1305" i="1" s="1"/>
  <c r="K1327" i="1"/>
  <c r="K1357" i="1" s="1"/>
  <c r="O1302" i="1"/>
  <c r="O1305" i="1" s="1"/>
  <c r="O1327" i="1"/>
  <c r="O1357" i="1" s="1"/>
  <c r="Q1302" i="1"/>
  <c r="Q1305" i="1" s="1"/>
  <c r="Q1327" i="1"/>
  <c r="Q1357" i="1" s="1"/>
  <c r="M1302" i="1"/>
  <c r="M1305" i="1" s="1"/>
  <c r="M1327" i="1"/>
  <c r="M1357" i="1" s="1"/>
  <c r="H291" i="1"/>
  <c r="G291" i="1" s="1"/>
  <c r="H241" i="1"/>
  <c r="G241" i="1" s="1"/>
  <c r="N1209" i="1"/>
  <c r="N1210" i="1" s="1"/>
  <c r="N1213" i="1" s="1"/>
  <c r="R1275" i="1"/>
  <c r="Q1277" i="1" s="1"/>
  <c r="R1285" i="1" s="1"/>
  <c r="L1275" i="1"/>
  <c r="K1277" i="1" s="1"/>
  <c r="L1285" i="1" s="1"/>
  <c r="J1209" i="1"/>
  <c r="I1209" i="1"/>
  <c r="I1277" i="1"/>
  <c r="I1285" i="1" s="1"/>
  <c r="J1310" i="1"/>
  <c r="J1312" i="1" s="1"/>
  <c r="J1315" i="1" s="1"/>
  <c r="O1277" i="1"/>
  <c r="P1285" i="1" s="1"/>
  <c r="P1310" i="1"/>
  <c r="P1312" i="1" s="1"/>
  <c r="O1315" i="1" s="1"/>
  <c r="M1277" i="1"/>
  <c r="N1285" i="1" s="1"/>
  <c r="N1310" i="1"/>
  <c r="N1312" i="1" s="1"/>
  <c r="M1275" i="1"/>
  <c r="K1296" i="1"/>
  <c r="L1296" i="1"/>
  <c r="K1331" i="1" s="1"/>
  <c r="R1296" i="1"/>
  <c r="Q1296" i="1"/>
  <c r="M1296" i="1"/>
  <c r="N1296" i="1"/>
  <c r="M1331" i="1" s="1"/>
  <c r="P1296" i="1"/>
  <c r="O1331" i="1" s="1"/>
  <c r="O1296" i="1"/>
  <c r="D242" i="1"/>
  <c r="J351" i="1"/>
  <c r="H352" i="1"/>
  <c r="I352" i="1"/>
  <c r="G352" i="1" s="1"/>
  <c r="F352" i="1" s="1"/>
  <c r="I241" i="1"/>
  <c r="K242" i="1" s="1"/>
  <c r="H355" i="1"/>
  <c r="F242" i="1"/>
  <c r="E242" i="1"/>
  <c r="J348" i="1"/>
  <c r="I349" i="1"/>
  <c r="H349" i="1"/>
  <c r="C793" i="1"/>
  <c r="J961" i="1"/>
  <c r="I965" i="1" s="1"/>
  <c r="J983" i="1"/>
  <c r="I984" i="1" s="1"/>
  <c r="J985" i="1" s="1"/>
  <c r="I989" i="1" s="1"/>
  <c r="Q1030" i="1"/>
  <c r="I948" i="1"/>
  <c r="I927" i="1"/>
  <c r="I928" i="1"/>
  <c r="I936" i="1" s="1"/>
  <c r="D1026" i="1" s="1"/>
  <c r="I972" i="1"/>
  <c r="I973" i="1" s="1"/>
  <c r="I962" i="1"/>
  <c r="E359" i="1"/>
  <c r="D363" i="1"/>
  <c r="F292" i="1"/>
  <c r="E292" i="1"/>
  <c r="J1007" i="1"/>
  <c r="L1026" i="1" s="1"/>
  <c r="O1026" i="1" s="1"/>
  <c r="I1026" i="1"/>
  <c r="I1002" i="1"/>
  <c r="J1002" i="1"/>
  <c r="I983" i="1"/>
  <c r="I949" i="1"/>
  <c r="I951" i="1" s="1"/>
  <c r="K772" i="1"/>
  <c r="K773" i="1" s="1"/>
  <c r="I642" i="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792" i="1"/>
  <c r="H792" i="1" s="1"/>
  <c r="J771" i="1"/>
  <c r="I762" i="1"/>
  <c r="E770" i="1" s="1"/>
  <c r="E791" i="1" s="1"/>
  <c r="H771" i="1"/>
  <c r="I772" i="1"/>
  <c r="I488" i="1"/>
  <c r="E494" i="1" s="1"/>
  <c r="J1296" i="1" l="1"/>
  <c r="I1331" i="1" s="1"/>
  <c r="I682" i="1"/>
  <c r="H682" i="1" s="1"/>
  <c r="J1229" i="1"/>
  <c r="I1229" i="1" s="1"/>
  <c r="J1287" i="1"/>
  <c r="I1287" i="1" s="1"/>
  <c r="D340" i="1"/>
  <c r="E340" i="1" s="1"/>
  <c r="F340" i="1" s="1"/>
  <c r="G340" i="1" s="1"/>
  <c r="C342" i="1"/>
  <c r="C343" i="1" s="1"/>
  <c r="D343" i="1" s="1"/>
  <c r="N1349" i="1"/>
  <c r="N1350" i="1" s="1"/>
  <c r="N1408" i="1"/>
  <c r="L1349" i="1"/>
  <c r="L1350" i="1" s="1"/>
  <c r="L1408" i="1"/>
  <c r="J1349" i="1"/>
  <c r="J1350" i="1" s="1"/>
  <c r="J1408" i="1"/>
  <c r="I1329" i="1"/>
  <c r="N348" i="1"/>
  <c r="K349" i="1"/>
  <c r="L349" i="1" s="1"/>
  <c r="M349" i="1" s="1"/>
  <c r="G355" i="1"/>
  <c r="I793" i="1" s="1"/>
  <c r="H793" i="1" s="1"/>
  <c r="R1329" i="1"/>
  <c r="L1329" i="1"/>
  <c r="N1329" i="1"/>
  <c r="P1329" i="1"/>
  <c r="H292" i="1"/>
  <c r="H242" i="1"/>
  <c r="G359" i="1" s="1"/>
  <c r="L1310" i="1"/>
  <c r="L1312" i="1" s="1"/>
  <c r="L1315" i="1" s="1"/>
  <c r="R1310" i="1"/>
  <c r="R1312" i="1" s="1"/>
  <c r="Q1315" i="1" s="1"/>
  <c r="G349" i="1"/>
  <c r="F349" i="1" s="1"/>
  <c r="Q1297" i="1"/>
  <c r="Q1298" i="1" s="1"/>
  <c r="Q1331" i="1"/>
  <c r="M1297" i="1"/>
  <c r="N1298" i="1" s="1"/>
  <c r="I1297" i="1"/>
  <c r="I1298" i="1" s="1"/>
  <c r="K1297" i="1"/>
  <c r="L1298" i="1" s="1"/>
  <c r="O1297" i="1"/>
  <c r="O1298" i="1" s="1"/>
  <c r="K1285" i="1"/>
  <c r="L1287" i="1" s="1"/>
  <c r="K1287" i="1" s="1"/>
  <c r="I1315" i="1"/>
  <c r="I1316" i="1" s="1"/>
  <c r="J1317" i="1" s="1"/>
  <c r="O1285" i="1"/>
  <c r="P1287" i="1" s="1"/>
  <c r="O1287" i="1" s="1"/>
  <c r="J1210" i="1"/>
  <c r="J1213" i="1" s="1"/>
  <c r="Q1285" i="1"/>
  <c r="R1287" i="1" s="1"/>
  <c r="Q1287" i="1" s="1"/>
  <c r="P1315" i="1"/>
  <c r="O1316" i="1" s="1"/>
  <c r="P1317" i="1" s="1"/>
  <c r="M1285" i="1"/>
  <c r="N1287" i="1" s="1"/>
  <c r="M1287" i="1" s="1"/>
  <c r="M1310" i="1"/>
  <c r="M1312" i="1" s="1"/>
  <c r="E243" i="1"/>
  <c r="D243" i="1"/>
  <c r="H359" i="1"/>
  <c r="F243" i="1"/>
  <c r="I242" i="1"/>
  <c r="J349" i="1"/>
  <c r="H350" i="1"/>
  <c r="J350" i="1" s="1"/>
  <c r="I350" i="1"/>
  <c r="J355" i="1"/>
  <c r="H356" i="1"/>
  <c r="I356" i="1"/>
  <c r="J352" i="1"/>
  <c r="I353" i="1"/>
  <c r="G353" i="1" s="1"/>
  <c r="H353" i="1"/>
  <c r="I683" i="1"/>
  <c r="H683" i="1" s="1"/>
  <c r="M1030" i="1"/>
  <c r="I1027" i="1"/>
  <c r="T1030" i="1"/>
  <c r="S1030" i="1" s="1"/>
  <c r="U1030" i="1"/>
  <c r="R1030" i="1"/>
  <c r="C1030" i="1" s="1"/>
  <c r="D1047" i="1" s="1"/>
  <c r="J973" i="1"/>
  <c r="I977" i="1" s="1"/>
  <c r="I985" i="1"/>
  <c r="I986" i="1" s="1"/>
  <c r="I974" i="1"/>
  <c r="I963" i="1"/>
  <c r="J963" i="1"/>
  <c r="I964" i="1" s="1"/>
  <c r="E363" i="1"/>
  <c r="C795" i="1" s="1"/>
  <c r="D367" i="1"/>
  <c r="G292" i="1"/>
  <c r="F293" i="1"/>
  <c r="E293" i="1"/>
  <c r="L1027" i="1"/>
  <c r="O1027" i="1" s="1"/>
  <c r="J1004" i="1"/>
  <c r="I1007" i="1"/>
  <c r="J1008" i="1" s="1"/>
  <c r="I954" i="1"/>
  <c r="D1027" i="1" s="1"/>
  <c r="D772" i="1"/>
  <c r="E680" i="1"/>
  <c r="I815" i="1" s="1"/>
  <c r="C521" i="1"/>
  <c r="C794" i="1"/>
  <c r="K792" i="1"/>
  <c r="E771" i="1"/>
  <c r="F771" i="1"/>
  <c r="K774" i="1"/>
  <c r="D773" i="1"/>
  <c r="D770" i="1"/>
  <c r="D791" i="1" s="1"/>
  <c r="F770" i="1"/>
  <c r="F791" i="1" s="1"/>
  <c r="H772" i="1"/>
  <c r="I773" i="1"/>
  <c r="F494" i="1"/>
  <c r="I716" i="1"/>
  <c r="D494" i="1"/>
  <c r="H716" i="1" s="1"/>
  <c r="E343" i="1"/>
  <c r="F343" i="1" s="1"/>
  <c r="G343" i="1" s="1"/>
  <c r="F355" i="1"/>
  <c r="K243" i="1" l="1"/>
  <c r="C824" i="1"/>
  <c r="D342" i="1"/>
  <c r="E342" i="1" s="1"/>
  <c r="F342" i="1" s="1"/>
  <c r="G342" i="1" s="1"/>
  <c r="H293" i="1"/>
  <c r="G293" i="1" s="1"/>
  <c r="K1329" i="1"/>
  <c r="Q1329" i="1"/>
  <c r="O1329" i="1"/>
  <c r="M1329" i="1"/>
  <c r="K350" i="1"/>
  <c r="K351" i="1" s="1"/>
  <c r="R1298" i="1"/>
  <c r="Q1304" i="1" s="1"/>
  <c r="G356" i="1"/>
  <c r="F356" i="1" s="1"/>
  <c r="P1298" i="1"/>
  <c r="O1304" i="1" s="1"/>
  <c r="M1298" i="1"/>
  <c r="M1300" i="1" s="1"/>
  <c r="N1301" i="1" s="1"/>
  <c r="R1315" i="1"/>
  <c r="Q1316" i="1" s="1"/>
  <c r="R1317" i="1" s="1"/>
  <c r="G350" i="1"/>
  <c r="F350" i="1" s="1"/>
  <c r="K1315" i="1"/>
  <c r="K1316" i="1" s="1"/>
  <c r="K1317" i="1" s="1"/>
  <c r="H243" i="1"/>
  <c r="G243" i="1" s="1"/>
  <c r="K1298" i="1"/>
  <c r="K1300" i="1" s="1"/>
  <c r="K1301" i="1" s="1"/>
  <c r="G242" i="1"/>
  <c r="F359" i="1" s="1"/>
  <c r="J1298" i="1"/>
  <c r="I1304" i="1" s="1"/>
  <c r="I1300" i="1"/>
  <c r="J1301" i="1" s="1"/>
  <c r="I1332" i="1"/>
  <c r="I1343" i="1" s="1"/>
  <c r="M1304" i="1"/>
  <c r="N1332" i="1"/>
  <c r="N1343" i="1" s="1"/>
  <c r="K1304" i="1"/>
  <c r="L1332" i="1"/>
  <c r="L1343" i="1" s="1"/>
  <c r="Q1300" i="1"/>
  <c r="R1301" i="1" s="1"/>
  <c r="Q1332" i="1"/>
  <c r="Q1343" i="1" s="1"/>
  <c r="O1300" i="1"/>
  <c r="O1301" i="1" s="1"/>
  <c r="O1332" i="1"/>
  <c r="O1343" i="1" s="1"/>
  <c r="N349" i="1"/>
  <c r="O1317" i="1"/>
  <c r="I1317" i="1"/>
  <c r="N1315" i="1"/>
  <c r="M1315" i="1"/>
  <c r="I684" i="1"/>
  <c r="I685" i="1" s="1"/>
  <c r="C530" i="1"/>
  <c r="J359" i="1"/>
  <c r="H360" i="1"/>
  <c r="I360" i="1"/>
  <c r="G360" i="1" s="1"/>
  <c r="F360" i="1" s="1"/>
  <c r="J353" i="1"/>
  <c r="I354" i="1"/>
  <c r="G354" i="1" s="1"/>
  <c r="F354" i="1" s="1"/>
  <c r="H354" i="1"/>
  <c r="J354" i="1" s="1"/>
  <c r="J356" i="1"/>
  <c r="I357" i="1"/>
  <c r="H357" i="1"/>
  <c r="D244" i="1"/>
  <c r="I243" i="1"/>
  <c r="E244" i="1"/>
  <c r="H363" i="1"/>
  <c r="F244" i="1"/>
  <c r="F353" i="1"/>
  <c r="N1030" i="1"/>
  <c r="K1047" i="1" s="1"/>
  <c r="J1047" i="1"/>
  <c r="I1028" i="1"/>
  <c r="I1029" i="1" s="1"/>
  <c r="I1030" i="1" s="1"/>
  <c r="L1028" i="1"/>
  <c r="I975" i="1"/>
  <c r="J975" i="1"/>
  <c r="I968" i="1"/>
  <c r="D1028" i="1" s="1"/>
  <c r="I966" i="1"/>
  <c r="I987" i="1"/>
  <c r="J987" i="1"/>
  <c r="I988" i="1" s="1"/>
  <c r="E367" i="1"/>
  <c r="C539" i="1" s="1"/>
  <c r="D371" i="1"/>
  <c r="F294" i="1"/>
  <c r="E294" i="1"/>
  <c r="I1008" i="1"/>
  <c r="J1026" i="1" s="1"/>
  <c r="K1026" i="1"/>
  <c r="K1027" i="1" s="1"/>
  <c r="I1004" i="1"/>
  <c r="G1026" i="1" s="1"/>
  <c r="H1026" i="1"/>
  <c r="H1027" i="1" s="1"/>
  <c r="G1027" i="1" s="1"/>
  <c r="D680" i="1"/>
  <c r="G680" i="1" s="1"/>
  <c r="F680" i="1"/>
  <c r="J815" i="1" s="1"/>
  <c r="G770" i="1"/>
  <c r="I794" i="1"/>
  <c r="H794" i="1" s="1"/>
  <c r="K793" i="1"/>
  <c r="D792" i="1"/>
  <c r="G791" i="1"/>
  <c r="J791" i="1"/>
  <c r="J770" i="1"/>
  <c r="K775" i="1"/>
  <c r="D774" i="1"/>
  <c r="I774" i="1"/>
  <c r="H773" i="1"/>
  <c r="F496" i="1"/>
  <c r="E496" i="1" s="1"/>
  <c r="J716" i="1"/>
  <c r="J718" i="1" s="1"/>
  <c r="L350" i="1"/>
  <c r="M350" i="1" s="1"/>
  <c r="N350" i="1" s="1"/>
  <c r="D496" i="1"/>
  <c r="G496" i="1" s="1"/>
  <c r="K244" i="1" l="1"/>
  <c r="F824" i="1"/>
  <c r="H294" i="1"/>
  <c r="G294" i="1" s="1"/>
  <c r="G357" i="1"/>
  <c r="F357" i="1" s="1"/>
  <c r="R1332" i="1"/>
  <c r="R1343" i="1" s="1"/>
  <c r="M1332" i="1"/>
  <c r="M1343" i="1" s="1"/>
  <c r="G363" i="1"/>
  <c r="I795" i="1" s="1"/>
  <c r="H795" i="1" s="1"/>
  <c r="P1301" i="1"/>
  <c r="P1333" i="1" s="1"/>
  <c r="O1336" i="1" s="1"/>
  <c r="Q1317" i="1"/>
  <c r="P1332" i="1"/>
  <c r="P1343" i="1" s="1"/>
  <c r="H244" i="1"/>
  <c r="G367" i="1" s="1"/>
  <c r="I1301" i="1"/>
  <c r="K1332" i="1"/>
  <c r="K1343" i="1" s="1"/>
  <c r="L1317" i="1"/>
  <c r="Q1301" i="1"/>
  <c r="H684" i="1"/>
  <c r="J1332" i="1"/>
  <c r="J1343" i="1" s="1"/>
  <c r="M1301" i="1"/>
  <c r="L1301" i="1"/>
  <c r="L1302" i="1" s="1"/>
  <c r="L1305" i="1" s="1"/>
  <c r="J1302" i="1"/>
  <c r="J1305" i="1" s="1"/>
  <c r="J1333" i="1"/>
  <c r="N1302" i="1"/>
  <c r="N1305" i="1" s="1"/>
  <c r="N1333" i="1"/>
  <c r="M1336" i="1" s="1"/>
  <c r="P1302" i="1"/>
  <c r="P1305" i="1" s="1"/>
  <c r="R1302" i="1"/>
  <c r="R1305" i="1" s="1"/>
  <c r="R1333" i="1"/>
  <c r="Q1336" i="1" s="1"/>
  <c r="M1316" i="1"/>
  <c r="N1317" i="1" s="1"/>
  <c r="J1285" i="1"/>
  <c r="D245" i="1"/>
  <c r="J360" i="1"/>
  <c r="I361" i="1"/>
  <c r="G361" i="1" s="1"/>
  <c r="H361" i="1"/>
  <c r="J363" i="1"/>
  <c r="H364" i="1"/>
  <c r="I364" i="1"/>
  <c r="G364" i="1" s="1"/>
  <c r="J357" i="1"/>
  <c r="I358" i="1"/>
  <c r="H358" i="1"/>
  <c r="J358" i="1" s="1"/>
  <c r="H367" i="1"/>
  <c r="F245" i="1"/>
  <c r="E245" i="1"/>
  <c r="I244" i="1"/>
  <c r="I1067" i="1"/>
  <c r="I1061" i="1"/>
  <c r="J1061" i="1"/>
  <c r="J1067" i="1" s="1"/>
  <c r="J1062" i="1"/>
  <c r="I1062" i="1"/>
  <c r="O1028" i="1"/>
  <c r="K1028" i="1"/>
  <c r="C796" i="1"/>
  <c r="L1029" i="1"/>
  <c r="H1028" i="1"/>
  <c r="H1029" i="1" s="1"/>
  <c r="H1030" i="1" s="1"/>
  <c r="I990" i="1"/>
  <c r="I992" i="1"/>
  <c r="D1030" i="1" s="1"/>
  <c r="I976" i="1"/>
  <c r="E371" i="1"/>
  <c r="C797" i="1" s="1"/>
  <c r="D375" i="1"/>
  <c r="F295" i="1"/>
  <c r="E295" i="1"/>
  <c r="J1027" i="1"/>
  <c r="H815" i="1"/>
  <c r="K815" i="1" s="1"/>
  <c r="K816" i="1" s="1"/>
  <c r="I816" i="1" s="1"/>
  <c r="J816" i="1" s="1"/>
  <c r="E681" i="1"/>
  <c r="D681" i="1"/>
  <c r="F681" i="1" s="1"/>
  <c r="J792" i="1"/>
  <c r="G792" i="1"/>
  <c r="K794" i="1"/>
  <c r="D793" i="1"/>
  <c r="K776" i="1"/>
  <c r="D775" i="1"/>
  <c r="H774" i="1"/>
  <c r="I775" i="1"/>
  <c r="G771" i="1"/>
  <c r="E497" i="1"/>
  <c r="F497" i="1" s="1"/>
  <c r="J720" i="1"/>
  <c r="I720" i="1"/>
  <c r="I721" i="1" s="1"/>
  <c r="H718" i="1"/>
  <c r="I718" i="1" s="1"/>
  <c r="L351" i="1"/>
  <c r="M351" i="1" s="1"/>
  <c r="N351" i="1" s="1"/>
  <c r="K352" i="1"/>
  <c r="I686" i="1"/>
  <c r="H685" i="1"/>
  <c r="D497" i="1"/>
  <c r="F363" i="1"/>
  <c r="G358" i="1" l="1"/>
  <c r="F358" i="1" s="1"/>
  <c r="H295" i="1"/>
  <c r="K245" i="1"/>
  <c r="I1336" i="1"/>
  <c r="I1338" i="1" s="1"/>
  <c r="H245" i="1"/>
  <c r="G245" i="1" s="1"/>
  <c r="G244" i="1"/>
  <c r="F367" i="1" s="1"/>
  <c r="L1333" i="1"/>
  <c r="K1336" i="1" s="1"/>
  <c r="Q1338" i="1"/>
  <c r="M1338" i="1"/>
  <c r="O1338" i="1"/>
  <c r="M1317" i="1"/>
  <c r="J361" i="1"/>
  <c r="H362" i="1"/>
  <c r="J362" i="1" s="1"/>
  <c r="I362" i="1"/>
  <c r="G362" i="1" s="1"/>
  <c r="F362" i="1" s="1"/>
  <c r="J367" i="1"/>
  <c r="I368" i="1"/>
  <c r="G368" i="1" s="1"/>
  <c r="F368" i="1" s="1"/>
  <c r="H368" i="1"/>
  <c r="J364" i="1"/>
  <c r="H365" i="1"/>
  <c r="I365" i="1"/>
  <c r="G365" i="1" s="1"/>
  <c r="I245" i="1"/>
  <c r="F246" i="1"/>
  <c r="H371" i="1"/>
  <c r="E246" i="1"/>
  <c r="D246" i="1"/>
  <c r="F361" i="1"/>
  <c r="L1030" i="1"/>
  <c r="O1030" i="1" s="1"/>
  <c r="O1029" i="1"/>
  <c r="C548" i="1"/>
  <c r="K1029" i="1"/>
  <c r="K1030" i="1" s="1"/>
  <c r="I978" i="1"/>
  <c r="I980" i="1"/>
  <c r="D1029" i="1" s="1"/>
  <c r="E1047" i="1" s="1"/>
  <c r="E375" i="1"/>
  <c r="C557" i="1" s="1"/>
  <c r="D379" i="1"/>
  <c r="G295" i="1"/>
  <c r="E296" i="1"/>
  <c r="F296" i="1"/>
  <c r="H296" i="1" s="1"/>
  <c r="J1028" i="1"/>
  <c r="G1028" i="1"/>
  <c r="G681" i="1"/>
  <c r="D682" i="1" s="1"/>
  <c r="G682" i="1" s="1"/>
  <c r="F364" i="1"/>
  <c r="H816" i="1"/>
  <c r="K795" i="1"/>
  <c r="D794" i="1"/>
  <c r="F792" i="1"/>
  <c r="E792" i="1"/>
  <c r="I796" i="1"/>
  <c r="H796" i="1" s="1"/>
  <c r="G793" i="1"/>
  <c r="J793" i="1"/>
  <c r="K777" i="1"/>
  <c r="D776" i="1"/>
  <c r="I776" i="1"/>
  <c r="H775" i="1"/>
  <c r="L352" i="1"/>
  <c r="M352" i="1" s="1"/>
  <c r="N352" i="1" s="1"/>
  <c r="K353" i="1"/>
  <c r="H686" i="1"/>
  <c r="I687" i="1"/>
  <c r="G497" i="1"/>
  <c r="E498" i="1" s="1"/>
  <c r="F498" i="1" s="1"/>
  <c r="D498" i="1"/>
  <c r="D499" i="1" s="1"/>
  <c r="D500" i="1" s="1"/>
  <c r="K246" i="1" l="1"/>
  <c r="G371" i="1"/>
  <c r="I797" i="1" s="1"/>
  <c r="H797" i="1" s="1"/>
  <c r="O1344" i="1"/>
  <c r="O1349" i="1"/>
  <c r="M1344" i="1"/>
  <c r="M1349" i="1"/>
  <c r="Q1349" i="1"/>
  <c r="Q1344" i="1"/>
  <c r="I1349" i="1"/>
  <c r="H246" i="1"/>
  <c r="G375" i="1" s="1"/>
  <c r="I1344" i="1"/>
  <c r="K1338" i="1"/>
  <c r="P1340" i="1"/>
  <c r="O1340" i="1"/>
  <c r="Q1340" i="1"/>
  <c r="R1340" i="1"/>
  <c r="J1340" i="1"/>
  <c r="I1340" i="1"/>
  <c r="M1340" i="1"/>
  <c r="N1340" i="1"/>
  <c r="D247" i="1"/>
  <c r="F365" i="1"/>
  <c r="F247" i="1"/>
  <c r="E247" i="1"/>
  <c r="H375" i="1"/>
  <c r="I246" i="1"/>
  <c r="J368" i="1"/>
  <c r="I369" i="1"/>
  <c r="G369" i="1" s="1"/>
  <c r="F369" i="1" s="1"/>
  <c r="H369" i="1"/>
  <c r="J371" i="1"/>
  <c r="I372" i="1"/>
  <c r="H372" i="1"/>
  <c r="J365" i="1"/>
  <c r="I366" i="1"/>
  <c r="G366" i="1" s="1"/>
  <c r="F366" i="1" s="1"/>
  <c r="H366" i="1"/>
  <c r="J366" i="1" s="1"/>
  <c r="I1047" i="1"/>
  <c r="H1047" i="1"/>
  <c r="F1047" i="1" s="1"/>
  <c r="C798" i="1"/>
  <c r="E379" i="1"/>
  <c r="C799" i="1" s="1"/>
  <c r="D383" i="1"/>
  <c r="G296" i="1"/>
  <c r="F297" i="1"/>
  <c r="H297" i="1" s="1"/>
  <c r="E297" i="1"/>
  <c r="E682" i="1"/>
  <c r="E683" i="1" s="1"/>
  <c r="J1030" i="1"/>
  <c r="J1029" i="1"/>
  <c r="G1030" i="1"/>
  <c r="G1029" i="1"/>
  <c r="F793" i="1"/>
  <c r="E793" i="1"/>
  <c r="K796" i="1"/>
  <c r="D795" i="1"/>
  <c r="G794" i="1"/>
  <c r="J794" i="1"/>
  <c r="K778" i="1"/>
  <c r="D777" i="1"/>
  <c r="G772" i="1"/>
  <c r="J772" i="1"/>
  <c r="F682" i="1"/>
  <c r="H776" i="1"/>
  <c r="I777" i="1"/>
  <c r="L353" i="1"/>
  <c r="M353" i="1" s="1"/>
  <c r="N353" i="1" s="1"/>
  <c r="K354" i="1"/>
  <c r="I688" i="1"/>
  <c r="H687" i="1"/>
  <c r="G498" i="1"/>
  <c r="E499" i="1" s="1"/>
  <c r="F499" i="1" s="1"/>
  <c r="G499" i="1"/>
  <c r="F371" i="1"/>
  <c r="K247" i="1" l="1"/>
  <c r="G246" i="1"/>
  <c r="G372" i="1"/>
  <c r="F372" i="1" s="1"/>
  <c r="K1344" i="1"/>
  <c r="K1349" i="1"/>
  <c r="P1345" i="1"/>
  <c r="P1346" i="1" s="1"/>
  <c r="O1345" i="1"/>
  <c r="Q1345" i="1"/>
  <c r="R1345" i="1"/>
  <c r="R1346" i="1" s="1"/>
  <c r="M1345" i="1"/>
  <c r="N1345" i="1"/>
  <c r="N1346" i="1" s="1"/>
  <c r="H247" i="1"/>
  <c r="G379" i="1" s="1"/>
  <c r="J1345" i="1"/>
  <c r="J1346" i="1" s="1"/>
  <c r="I1345" i="1"/>
  <c r="L1340" i="1"/>
  <c r="K1340" i="1"/>
  <c r="J372" i="1"/>
  <c r="H373" i="1"/>
  <c r="I373" i="1"/>
  <c r="F248" i="1"/>
  <c r="D248" i="1"/>
  <c r="H379" i="1"/>
  <c r="I247" i="1"/>
  <c r="E248" i="1"/>
  <c r="J369" i="1"/>
  <c r="H370" i="1"/>
  <c r="J370" i="1" s="1"/>
  <c r="I370" i="1"/>
  <c r="G370" i="1" s="1"/>
  <c r="F370" i="1" s="1"/>
  <c r="J375" i="1"/>
  <c r="H376" i="1"/>
  <c r="I376" i="1"/>
  <c r="G376" i="1" s="1"/>
  <c r="F376" i="1" s="1"/>
  <c r="D683" i="1"/>
  <c r="F683" i="1" s="1"/>
  <c r="G1047" i="1"/>
  <c r="I1050" i="1"/>
  <c r="I1056" i="1"/>
  <c r="C566" i="1"/>
  <c r="E383" i="1"/>
  <c r="C800" i="1" s="1"/>
  <c r="D387" i="1"/>
  <c r="G297" i="1"/>
  <c r="F298" i="1"/>
  <c r="H298" i="1" s="1"/>
  <c r="E298" i="1"/>
  <c r="E794" i="1"/>
  <c r="F794" i="1"/>
  <c r="J795" i="1"/>
  <c r="G795" i="1"/>
  <c r="I798" i="1"/>
  <c r="H798" i="1" s="1"/>
  <c r="K797" i="1"/>
  <c r="D796" i="1"/>
  <c r="F772" i="1"/>
  <c r="E772" i="1"/>
  <c r="K779" i="1"/>
  <c r="D778" i="1"/>
  <c r="I778" i="1"/>
  <c r="H777" i="1"/>
  <c r="L354" i="1"/>
  <c r="M354" i="1" s="1"/>
  <c r="N354" i="1" s="1"/>
  <c r="K355" i="1"/>
  <c r="H688" i="1"/>
  <c r="I689" i="1"/>
  <c r="E500" i="1"/>
  <c r="F500" i="1" s="1"/>
  <c r="G500" i="1"/>
  <c r="F375" i="1"/>
  <c r="K248" i="1" l="1"/>
  <c r="G247" i="1"/>
  <c r="G373" i="1"/>
  <c r="F373" i="1" s="1"/>
  <c r="M1346" i="1"/>
  <c r="M1347" i="1" s="1"/>
  <c r="M1350" i="1" s="1"/>
  <c r="Q1346" i="1"/>
  <c r="Q1347" i="1" s="1"/>
  <c r="Q1350" i="1" s="1"/>
  <c r="O1346" i="1"/>
  <c r="O1347" i="1" s="1"/>
  <c r="L1345" i="1"/>
  <c r="L1346" i="1" s="1"/>
  <c r="K1345" i="1"/>
  <c r="H248" i="1"/>
  <c r="G383" i="1" s="1"/>
  <c r="I1346" i="1"/>
  <c r="I1347" i="1" s="1"/>
  <c r="I1404" i="1" s="1"/>
  <c r="G683" i="1"/>
  <c r="E684" i="1" s="1"/>
  <c r="D249" i="1"/>
  <c r="I248" i="1"/>
  <c r="H383" i="1"/>
  <c r="F249" i="1"/>
  <c r="E249" i="1"/>
  <c r="J376" i="1"/>
  <c r="I377" i="1"/>
  <c r="G377" i="1" s="1"/>
  <c r="F377" i="1" s="1"/>
  <c r="H377" i="1"/>
  <c r="J379" i="1"/>
  <c r="I380" i="1"/>
  <c r="G380" i="1" s="1"/>
  <c r="F380" i="1" s="1"/>
  <c r="H380" i="1"/>
  <c r="J373" i="1"/>
  <c r="H374" i="1"/>
  <c r="J374" i="1" s="1"/>
  <c r="I374" i="1"/>
  <c r="C575" i="1"/>
  <c r="I1057" i="1"/>
  <c r="J1057" i="1"/>
  <c r="I1058" i="1" s="1"/>
  <c r="I1052" i="1"/>
  <c r="I1053" i="1" s="1"/>
  <c r="I1051" i="1"/>
  <c r="J1052" i="1" s="1"/>
  <c r="E387" i="1"/>
  <c r="C801" i="1" s="1"/>
  <c r="D391" i="1"/>
  <c r="G298" i="1"/>
  <c r="F299" i="1"/>
  <c r="H299" i="1" s="1"/>
  <c r="E299" i="1"/>
  <c r="J796" i="1"/>
  <c r="G796" i="1"/>
  <c r="I799" i="1"/>
  <c r="K798" i="1"/>
  <c r="D797" i="1"/>
  <c r="E795" i="1"/>
  <c r="F795" i="1"/>
  <c r="K780" i="1"/>
  <c r="D779" i="1"/>
  <c r="G773" i="1"/>
  <c r="J773" i="1"/>
  <c r="I779" i="1"/>
  <c r="H778" i="1"/>
  <c r="L355" i="1"/>
  <c r="M355" i="1" s="1"/>
  <c r="N355" i="1" s="1"/>
  <c r="K356" i="1"/>
  <c r="D684" i="1"/>
  <c r="I690" i="1"/>
  <c r="H689" i="1"/>
  <c r="E503" i="1"/>
  <c r="D503" i="1" s="1"/>
  <c r="F379" i="1"/>
  <c r="H799" i="1" l="1"/>
  <c r="G1585" i="1"/>
  <c r="F1585" i="1" s="1"/>
  <c r="G248" i="1"/>
  <c r="F383" i="1" s="1"/>
  <c r="K249" i="1"/>
  <c r="G374" i="1"/>
  <c r="F374" i="1" s="1"/>
  <c r="H249" i="1"/>
  <c r="G249" i="1" s="1"/>
  <c r="N1351" i="1"/>
  <c r="N1353" i="1" s="1"/>
  <c r="M1351" i="1"/>
  <c r="M1358" i="1" s="1"/>
  <c r="M1359" i="1" s="1"/>
  <c r="M1404" i="1"/>
  <c r="Q1404" i="1"/>
  <c r="Q1351" i="1"/>
  <c r="Q1358" i="1" s="1"/>
  <c r="Q1359" i="1" s="1"/>
  <c r="R1351" i="1"/>
  <c r="R1353" i="1" s="1"/>
  <c r="K1346" i="1"/>
  <c r="K1347" i="1" s="1"/>
  <c r="K1404" i="1" s="1"/>
  <c r="O1350" i="1"/>
  <c r="O1351" i="1" s="1"/>
  <c r="O1404" i="1"/>
  <c r="I1350" i="1"/>
  <c r="D250" i="1"/>
  <c r="I249" i="1"/>
  <c r="E250" i="1"/>
  <c r="F250" i="1"/>
  <c r="H387" i="1"/>
  <c r="J377" i="1"/>
  <c r="H378" i="1"/>
  <c r="J378" i="1" s="1"/>
  <c r="I378" i="1"/>
  <c r="G378" i="1" s="1"/>
  <c r="F378" i="1" s="1"/>
  <c r="J380" i="1"/>
  <c r="I381" i="1"/>
  <c r="G381" i="1" s="1"/>
  <c r="H381" i="1"/>
  <c r="J383" i="1"/>
  <c r="H384" i="1"/>
  <c r="I384" i="1"/>
  <c r="G384" i="1" s="1"/>
  <c r="F384" i="1" s="1"/>
  <c r="J1059" i="1"/>
  <c r="I1059" i="1"/>
  <c r="I1064" i="1" s="1"/>
  <c r="C584" i="1"/>
  <c r="E391" i="1"/>
  <c r="C802" i="1" s="1"/>
  <c r="D395" i="1"/>
  <c r="G299" i="1"/>
  <c r="E300" i="1"/>
  <c r="F300" i="1"/>
  <c r="H300" i="1" s="1"/>
  <c r="I800" i="1"/>
  <c r="H800" i="1" s="1"/>
  <c r="K799" i="1"/>
  <c r="D798" i="1"/>
  <c r="E796" i="1"/>
  <c r="F796" i="1"/>
  <c r="G797" i="1"/>
  <c r="J797" i="1"/>
  <c r="E773" i="1"/>
  <c r="F773" i="1"/>
  <c r="K781" i="1"/>
  <c r="D780" i="1"/>
  <c r="J774" i="1"/>
  <c r="I780" i="1"/>
  <c r="H779" i="1"/>
  <c r="L356" i="1"/>
  <c r="M356" i="1" s="1"/>
  <c r="N356" i="1" s="1"/>
  <c r="K357" i="1"/>
  <c r="G684" i="1"/>
  <c r="E685" i="1" s="1"/>
  <c r="F684" i="1"/>
  <c r="H690" i="1"/>
  <c r="I691" i="1"/>
  <c r="F503" i="1"/>
  <c r="F505" i="1" s="1"/>
  <c r="E505" i="1" s="1"/>
  <c r="D505" i="1"/>
  <c r="G387" i="1"/>
  <c r="K250" i="1" l="1"/>
  <c r="C593" i="1"/>
  <c r="P1351" i="1"/>
  <c r="O1353" i="1" s="1"/>
  <c r="H250" i="1"/>
  <c r="G250" i="1" s="1"/>
  <c r="M1353" i="1"/>
  <c r="Q1353" i="1"/>
  <c r="K1350" i="1"/>
  <c r="L1351" i="1" s="1"/>
  <c r="L1353" i="1" s="1"/>
  <c r="N1362" i="1"/>
  <c r="M1362" i="1"/>
  <c r="N1360" i="1"/>
  <c r="O1358" i="1"/>
  <c r="O1359" i="1" s="1"/>
  <c r="R1362" i="1"/>
  <c r="Q1362" i="1"/>
  <c r="R1360" i="1"/>
  <c r="I1351" i="1"/>
  <c r="I1358" i="1" s="1"/>
  <c r="J1351" i="1"/>
  <c r="J381" i="1"/>
  <c r="I382" i="1"/>
  <c r="G382" i="1" s="1"/>
  <c r="F382" i="1" s="1"/>
  <c r="H382" i="1"/>
  <c r="J382" i="1" s="1"/>
  <c r="I250" i="1"/>
  <c r="F251" i="1"/>
  <c r="E251" i="1"/>
  <c r="H391" i="1"/>
  <c r="J384" i="1"/>
  <c r="H385" i="1"/>
  <c r="I385" i="1"/>
  <c r="G385" i="1" s="1"/>
  <c r="J387" i="1"/>
  <c r="H388" i="1"/>
  <c r="I388" i="1"/>
  <c r="G388" i="1" s="1"/>
  <c r="D251" i="1"/>
  <c r="D252" i="1" s="1"/>
  <c r="F381" i="1"/>
  <c r="J1065" i="1"/>
  <c r="I1065" i="1"/>
  <c r="I1072" i="1"/>
  <c r="J1072" i="1"/>
  <c r="E395" i="1"/>
  <c r="C602" i="1" s="1"/>
  <c r="D399" i="1"/>
  <c r="G300" i="1"/>
  <c r="E301" i="1"/>
  <c r="F301" i="1"/>
  <c r="H301" i="1" s="1"/>
  <c r="G301" i="1" s="1"/>
  <c r="I801" i="1"/>
  <c r="H801" i="1" s="1"/>
  <c r="F797" i="1"/>
  <c r="E797" i="1"/>
  <c r="K800" i="1"/>
  <c r="D799" i="1"/>
  <c r="G798" i="1"/>
  <c r="J798" i="1"/>
  <c r="F774" i="1"/>
  <c r="E774" i="1"/>
  <c r="K782" i="1"/>
  <c r="D781" i="1"/>
  <c r="G774" i="1"/>
  <c r="I781" i="1"/>
  <c r="H780" i="1"/>
  <c r="L357" i="1"/>
  <c r="M357" i="1" s="1"/>
  <c r="N357" i="1" s="1"/>
  <c r="K358" i="1"/>
  <c r="D685" i="1"/>
  <c r="F685" i="1" s="1"/>
  <c r="I692" i="1"/>
  <c r="H691" i="1"/>
  <c r="G505" i="1"/>
  <c r="E506" i="1" s="1"/>
  <c r="D506" i="1"/>
  <c r="F387" i="1"/>
  <c r="G391" i="1" l="1"/>
  <c r="K251" i="1"/>
  <c r="I1359" i="1"/>
  <c r="J1360" i="1" s="1"/>
  <c r="I1437" i="1"/>
  <c r="I1438" i="1" s="1"/>
  <c r="P1353" i="1"/>
  <c r="H251" i="1"/>
  <c r="G251" i="1" s="1"/>
  <c r="K1351" i="1"/>
  <c r="Q1360" i="1"/>
  <c r="P1360" i="1"/>
  <c r="P1362" i="1"/>
  <c r="O1362" i="1"/>
  <c r="M1360" i="1"/>
  <c r="R1363" i="1"/>
  <c r="Q1363" i="1"/>
  <c r="Q1364" i="1" s="1"/>
  <c r="M1363" i="1"/>
  <c r="M1364" i="1" s="1"/>
  <c r="N1363" i="1"/>
  <c r="J1353" i="1"/>
  <c r="I1353" i="1"/>
  <c r="J1362" i="1"/>
  <c r="H403" i="1"/>
  <c r="F252" i="1"/>
  <c r="I251" i="1"/>
  <c r="E252" i="1"/>
  <c r="H395" i="1"/>
  <c r="J385" i="1"/>
  <c r="H386" i="1"/>
  <c r="J386" i="1" s="1"/>
  <c r="I386" i="1"/>
  <c r="G386" i="1" s="1"/>
  <c r="F386" i="1" s="1"/>
  <c r="J391" i="1"/>
  <c r="H392" i="1"/>
  <c r="I392" i="1"/>
  <c r="J388" i="1"/>
  <c r="I389" i="1"/>
  <c r="G389" i="1" s="1"/>
  <c r="H389" i="1"/>
  <c r="I1069" i="1"/>
  <c r="J1070" i="1" s="1"/>
  <c r="F385" i="1"/>
  <c r="C803" i="1"/>
  <c r="F388" i="1"/>
  <c r="E399" i="1"/>
  <c r="C611" i="1" s="1"/>
  <c r="D403" i="1"/>
  <c r="E403" i="1" s="1"/>
  <c r="C805" i="1" s="1"/>
  <c r="F302" i="1"/>
  <c r="H302" i="1" s="1"/>
  <c r="G302" i="1" s="1"/>
  <c r="E302" i="1"/>
  <c r="I802" i="1"/>
  <c r="H802" i="1" s="1"/>
  <c r="E798" i="1"/>
  <c r="F798" i="1"/>
  <c r="J799" i="1"/>
  <c r="G799" i="1"/>
  <c r="K801" i="1"/>
  <c r="D800" i="1"/>
  <c r="K783" i="1"/>
  <c r="D782" i="1"/>
  <c r="J775" i="1"/>
  <c r="I782" i="1"/>
  <c r="H781" i="1"/>
  <c r="L358" i="1"/>
  <c r="M358" i="1" s="1"/>
  <c r="N358" i="1" s="1"/>
  <c r="K359" i="1"/>
  <c r="G685" i="1"/>
  <c r="H692" i="1"/>
  <c r="I693" i="1"/>
  <c r="D507" i="1"/>
  <c r="G506" i="1"/>
  <c r="E507" i="1" s="1"/>
  <c r="F506" i="1"/>
  <c r="F391" i="1"/>
  <c r="G392" i="1" l="1"/>
  <c r="F392" i="1" s="1"/>
  <c r="C840" i="1"/>
  <c r="D1589" i="1"/>
  <c r="K252" i="1"/>
  <c r="I1362" i="1"/>
  <c r="J1439" i="1"/>
  <c r="I1439" i="1"/>
  <c r="G395" i="1"/>
  <c r="H252" i="1"/>
  <c r="G252" i="1" s="1"/>
  <c r="F399" i="1" s="1"/>
  <c r="K1353" i="1"/>
  <c r="K1358" i="1"/>
  <c r="K1359" i="1" s="1"/>
  <c r="R1366" i="1"/>
  <c r="Q1368" i="1" s="1"/>
  <c r="Q1371" i="1" s="1"/>
  <c r="Q1372" i="1" s="1"/>
  <c r="Q1366" i="1"/>
  <c r="R1367" i="1" s="1"/>
  <c r="P1363" i="1"/>
  <c r="O1363" i="1"/>
  <c r="O1364" i="1" s="1"/>
  <c r="O1360" i="1"/>
  <c r="M1366" i="1"/>
  <c r="N1367" i="1" s="1"/>
  <c r="N1366" i="1"/>
  <c r="M1368" i="1" s="1"/>
  <c r="M1371" i="1" s="1"/>
  <c r="M1372" i="1" s="1"/>
  <c r="I1360" i="1"/>
  <c r="J1363" i="1"/>
  <c r="I1363" i="1"/>
  <c r="I1364" i="1" s="1"/>
  <c r="F389" i="1"/>
  <c r="J389" i="1"/>
  <c r="H390" i="1"/>
  <c r="J390" i="1" s="1"/>
  <c r="I390" i="1"/>
  <c r="G390" i="1" s="1"/>
  <c r="F390" i="1" s="1"/>
  <c r="J392" i="1"/>
  <c r="H393" i="1"/>
  <c r="I393" i="1"/>
  <c r="J395" i="1"/>
  <c r="I396" i="1"/>
  <c r="H396" i="1"/>
  <c r="H404" i="1"/>
  <c r="J403" i="1"/>
  <c r="I404" i="1"/>
  <c r="H399" i="1"/>
  <c r="D253" i="1"/>
  <c r="I252" i="1"/>
  <c r="E253" i="1"/>
  <c r="I253" i="1" s="1"/>
  <c r="D1585" i="1" s="1"/>
  <c r="F253" i="1"/>
  <c r="I1070" i="1"/>
  <c r="C804" i="1"/>
  <c r="F864" i="1" s="1"/>
  <c r="E303" i="1"/>
  <c r="F303" i="1"/>
  <c r="H303" i="1" s="1"/>
  <c r="G303" i="1" s="1"/>
  <c r="C620" i="1"/>
  <c r="E824" i="1"/>
  <c r="K802" i="1"/>
  <c r="D801" i="1"/>
  <c r="E799" i="1"/>
  <c r="F799" i="1"/>
  <c r="J800" i="1"/>
  <c r="G800" i="1"/>
  <c r="I803" i="1"/>
  <c r="H803" i="1" s="1"/>
  <c r="E775" i="1"/>
  <c r="F775" i="1"/>
  <c r="K784" i="1"/>
  <c r="D783" i="1"/>
  <c r="G775" i="1"/>
  <c r="H782" i="1"/>
  <c r="I783" i="1"/>
  <c r="L359" i="1"/>
  <c r="M359" i="1" s="1"/>
  <c r="N359" i="1" s="1"/>
  <c r="K360" i="1"/>
  <c r="D686" i="1"/>
  <c r="G686" i="1" s="1"/>
  <c r="E686" i="1"/>
  <c r="I694" i="1"/>
  <c r="H693" i="1"/>
  <c r="F507" i="1"/>
  <c r="D508" i="1"/>
  <c r="G507" i="1"/>
  <c r="E508" i="1" s="1"/>
  <c r="F395" i="1"/>
  <c r="G393" i="1" l="1"/>
  <c r="Q1606" i="1"/>
  <c r="M1606" i="1"/>
  <c r="I1606" i="1"/>
  <c r="O1606" i="1"/>
  <c r="K1606" i="1"/>
  <c r="Q1594" i="1"/>
  <c r="O1594" i="1"/>
  <c r="R1597" i="1"/>
  <c r="Q1607" i="1"/>
  <c r="Q1592" i="1"/>
  <c r="R1596" i="1"/>
  <c r="Q1596" i="1"/>
  <c r="Q1591" i="1"/>
  <c r="Q1593" i="1"/>
  <c r="R1607" i="1"/>
  <c r="R1608" i="1" s="1"/>
  <c r="Q1595" i="1"/>
  <c r="Q1597" i="1"/>
  <c r="M1607" i="1"/>
  <c r="O1591" i="1"/>
  <c r="O1595" i="1"/>
  <c r="O1597" i="1"/>
  <c r="M1591" i="1"/>
  <c r="K1607" i="1"/>
  <c r="I1607" i="1"/>
  <c r="K1592" i="1"/>
  <c r="I1595" i="1"/>
  <c r="I1593" i="1"/>
  <c r="P1597" i="1"/>
  <c r="N1607" i="1"/>
  <c r="N1608" i="1" s="1"/>
  <c r="N1596" i="1"/>
  <c r="N1597" i="1"/>
  <c r="O1593" i="1"/>
  <c r="J1596" i="1"/>
  <c r="K1593" i="1"/>
  <c r="L1607" i="1"/>
  <c r="L1608" i="1" s="1"/>
  <c r="I1597" i="1"/>
  <c r="J1607" i="1"/>
  <c r="J1608" i="1" s="1"/>
  <c r="O1607" i="1"/>
  <c r="P1596" i="1"/>
  <c r="M1593" i="1"/>
  <c r="M1596" i="1"/>
  <c r="M1597" i="1"/>
  <c r="L1597" i="1"/>
  <c r="J1597" i="1"/>
  <c r="L1596" i="1"/>
  <c r="K1591" i="1"/>
  <c r="I1592" i="1"/>
  <c r="O1592" i="1"/>
  <c r="O1596" i="1"/>
  <c r="P1607" i="1"/>
  <c r="P1608" i="1" s="1"/>
  <c r="M1592" i="1"/>
  <c r="M1595" i="1"/>
  <c r="K1597" i="1"/>
  <c r="K1595" i="1"/>
  <c r="K1596" i="1"/>
  <c r="I1596" i="1"/>
  <c r="I1591" i="1"/>
  <c r="K253" i="1"/>
  <c r="D864" i="1"/>
  <c r="E864" i="1"/>
  <c r="I1444" i="1"/>
  <c r="I1443" i="1"/>
  <c r="I1441" i="1"/>
  <c r="I1440" i="1"/>
  <c r="G396" i="1"/>
  <c r="F396" i="1" s="1"/>
  <c r="G399" i="1"/>
  <c r="I804" i="1" s="1"/>
  <c r="H804" i="1" s="1"/>
  <c r="H253" i="1"/>
  <c r="G403" i="1" s="1"/>
  <c r="L1362" i="1"/>
  <c r="K1362" i="1"/>
  <c r="L1360" i="1"/>
  <c r="K1360" i="1" s="1"/>
  <c r="M1367" i="1"/>
  <c r="M1413" i="1" s="1"/>
  <c r="N1413" i="1"/>
  <c r="Q1367" i="1"/>
  <c r="Q1413" i="1" s="1"/>
  <c r="R1413" i="1"/>
  <c r="Q1373" i="1"/>
  <c r="Q1396" i="1" s="1"/>
  <c r="Q1397" i="1" s="1"/>
  <c r="R1373" i="1"/>
  <c r="M1373" i="1"/>
  <c r="M1396" i="1" s="1"/>
  <c r="M1397" i="1" s="1"/>
  <c r="N1373" i="1"/>
  <c r="O1366" i="1"/>
  <c r="P1367" i="1" s="1"/>
  <c r="P1366" i="1"/>
  <c r="O1368" i="1" s="1"/>
  <c r="O1371" i="1" s="1"/>
  <c r="O1372" i="1" s="1"/>
  <c r="I1366" i="1"/>
  <c r="J1367" i="1" s="1"/>
  <c r="J1366" i="1"/>
  <c r="I1368" i="1" s="1"/>
  <c r="I1371" i="1" s="1"/>
  <c r="I1372" i="1" s="1"/>
  <c r="J404" i="1"/>
  <c r="I405" i="1"/>
  <c r="H405" i="1"/>
  <c r="J399" i="1"/>
  <c r="I400" i="1"/>
  <c r="H400" i="1"/>
  <c r="J396" i="1"/>
  <c r="H397" i="1"/>
  <c r="I397" i="1"/>
  <c r="J393" i="1"/>
  <c r="H394" i="1"/>
  <c r="J394" i="1" s="1"/>
  <c r="I394" i="1"/>
  <c r="G394" i="1" s="1"/>
  <c r="F394" i="1" s="1"/>
  <c r="F393" i="1"/>
  <c r="E304" i="1"/>
  <c r="F304" i="1"/>
  <c r="H304" i="1" s="1"/>
  <c r="G304" i="1" s="1"/>
  <c r="E800" i="1"/>
  <c r="F800" i="1"/>
  <c r="G801" i="1"/>
  <c r="J801" i="1"/>
  <c r="K803" i="1"/>
  <c r="D802" i="1"/>
  <c r="D784" i="1"/>
  <c r="J776" i="1"/>
  <c r="I784" i="1"/>
  <c r="H784" i="1" s="1"/>
  <c r="H783" i="1"/>
  <c r="L360" i="1"/>
  <c r="M360" i="1" s="1"/>
  <c r="N360" i="1" s="1"/>
  <c r="K361" i="1"/>
  <c r="F686" i="1"/>
  <c r="D687" i="1" s="1"/>
  <c r="F687" i="1" s="1"/>
  <c r="E687" i="1"/>
  <c r="H694" i="1"/>
  <c r="I695" i="1"/>
  <c r="F508" i="1"/>
  <c r="D509" i="1"/>
  <c r="G509" i="1" s="1"/>
  <c r="G508" i="1"/>
  <c r="E509" i="1" s="1"/>
  <c r="E512" i="1" s="1"/>
  <c r="O1608" i="1" l="1"/>
  <c r="I1608" i="1"/>
  <c r="M1608" i="1"/>
  <c r="K1608" i="1"/>
  <c r="Q1608" i="1"/>
  <c r="L1601" i="1"/>
  <c r="K1601" i="1"/>
  <c r="K1622" i="1" s="1"/>
  <c r="J1601" i="1"/>
  <c r="I1601" i="1"/>
  <c r="P1600" i="1"/>
  <c r="O1600" i="1"/>
  <c r="N1601" i="1"/>
  <c r="M1601" i="1"/>
  <c r="M1622" i="1" s="1"/>
  <c r="R1600" i="1"/>
  <c r="Q1600" i="1"/>
  <c r="G253" i="1"/>
  <c r="F403" i="1" s="1"/>
  <c r="G864" i="1"/>
  <c r="G865" i="1" s="1"/>
  <c r="G397" i="1"/>
  <c r="F397" i="1" s="1"/>
  <c r="G400" i="1"/>
  <c r="F400" i="1" s="1"/>
  <c r="K1363" i="1"/>
  <c r="K1364" i="1" s="1"/>
  <c r="L1363" i="1"/>
  <c r="O1367" i="1"/>
  <c r="O1413" i="1" s="1"/>
  <c r="P1413" i="1"/>
  <c r="R1398" i="1"/>
  <c r="Q1398" i="1"/>
  <c r="Q1399" i="1" s="1"/>
  <c r="M1398" i="1"/>
  <c r="M1399" i="1" s="1"/>
  <c r="N1398" i="1"/>
  <c r="P1373" i="1"/>
  <c r="O1373" i="1"/>
  <c r="O1396" i="1" s="1"/>
  <c r="O1397" i="1" s="1"/>
  <c r="Q1374" i="1"/>
  <c r="Q1377" i="1"/>
  <c r="Q1378" i="1" s="1"/>
  <c r="M1374" i="1"/>
  <c r="M1377" i="1"/>
  <c r="M1378" i="1" s="1"/>
  <c r="I1367" i="1"/>
  <c r="I1413" i="1" s="1"/>
  <c r="J1413" i="1"/>
  <c r="J1373" i="1"/>
  <c r="I1373" i="1"/>
  <c r="I1396" i="1" s="1"/>
  <c r="I1397" i="1" s="1"/>
  <c r="I406" i="1"/>
  <c r="J405" i="1"/>
  <c r="H406" i="1"/>
  <c r="J406" i="1" s="1"/>
  <c r="I401" i="1"/>
  <c r="J400" i="1"/>
  <c r="H401" i="1"/>
  <c r="J397" i="1"/>
  <c r="H398" i="1"/>
  <c r="J398" i="1" s="1"/>
  <c r="I398" i="1"/>
  <c r="G398" i="1" s="1"/>
  <c r="F398" i="1" s="1"/>
  <c r="E305" i="1"/>
  <c r="F305" i="1"/>
  <c r="H305" i="1" s="1"/>
  <c r="G305" i="1" s="1"/>
  <c r="E801" i="1"/>
  <c r="F801" i="1"/>
  <c r="G802" i="1"/>
  <c r="J802" i="1"/>
  <c r="I805" i="1"/>
  <c r="H805" i="1" s="1"/>
  <c r="G404" i="1"/>
  <c r="K804" i="1"/>
  <c r="D803" i="1"/>
  <c r="E776" i="1"/>
  <c r="F776" i="1"/>
  <c r="G776" i="1"/>
  <c r="F512" i="1"/>
  <c r="D512" i="1"/>
  <c r="L361" i="1"/>
  <c r="M361" i="1" s="1"/>
  <c r="N361" i="1" s="1"/>
  <c r="K362" i="1"/>
  <c r="G687" i="1"/>
  <c r="E688" i="1" s="1"/>
  <c r="I696" i="1"/>
  <c r="H695" i="1"/>
  <c r="F509" i="1"/>
  <c r="I1622" i="1" l="1"/>
  <c r="Q1613" i="1"/>
  <c r="R1612" i="1"/>
  <c r="R1610" i="1"/>
  <c r="Q1612" i="1"/>
  <c r="Q1610" i="1"/>
  <c r="R1613" i="1"/>
  <c r="R1611" i="1"/>
  <c r="R1624" i="1" s="1"/>
  <c r="Q1633" i="1" s="1"/>
  <c r="Q1611" i="1"/>
  <c r="P1613" i="1"/>
  <c r="P1611" i="1"/>
  <c r="P1624" i="1" s="1"/>
  <c r="O1613" i="1"/>
  <c r="O1611" i="1"/>
  <c r="P1612" i="1"/>
  <c r="P1610" i="1"/>
  <c r="O1612" i="1"/>
  <c r="O1610" i="1"/>
  <c r="M1612" i="1"/>
  <c r="M1610" i="1"/>
  <c r="M1611" i="1"/>
  <c r="N1613" i="1"/>
  <c r="N1611" i="1"/>
  <c r="N1624" i="1" s="1"/>
  <c r="M1613" i="1"/>
  <c r="N1612" i="1"/>
  <c r="N1610" i="1"/>
  <c r="K1613" i="1"/>
  <c r="L1611" i="1"/>
  <c r="L1624" i="1" s="1"/>
  <c r="L1612" i="1"/>
  <c r="K1612" i="1"/>
  <c r="K1611" i="1"/>
  <c r="L1610" i="1"/>
  <c r="L1613" i="1"/>
  <c r="K1610" i="1"/>
  <c r="J1613" i="1"/>
  <c r="J1612" i="1"/>
  <c r="I1611" i="1"/>
  <c r="I1613" i="1"/>
  <c r="J1611" i="1"/>
  <c r="J1624" i="1" s="1"/>
  <c r="I1633" i="1" s="1"/>
  <c r="I1612" i="1"/>
  <c r="I1615" i="1" s="1"/>
  <c r="I1610" i="1"/>
  <c r="J1610" i="1"/>
  <c r="P1601" i="1"/>
  <c r="M1602" i="1"/>
  <c r="M1603" i="1" s="1"/>
  <c r="I1602" i="1"/>
  <c r="I1603" i="1" s="1"/>
  <c r="O1601" i="1"/>
  <c r="O1622" i="1" s="1"/>
  <c r="Q1601" i="1"/>
  <c r="Q1622" i="1" s="1"/>
  <c r="K1602" i="1"/>
  <c r="L1603" i="1" s="1"/>
  <c r="R1601" i="1"/>
  <c r="D865" i="1"/>
  <c r="F865" i="1" s="1"/>
  <c r="G401" i="1"/>
  <c r="F401" i="1" s="1"/>
  <c r="L1366" i="1"/>
  <c r="K1368" i="1" s="1"/>
  <c r="K1371" i="1" s="1"/>
  <c r="K1372" i="1" s="1"/>
  <c r="K1366" i="1"/>
  <c r="L1367" i="1" s="1"/>
  <c r="R1400" i="1"/>
  <c r="Q1400" i="1" s="1"/>
  <c r="O1398" i="1"/>
  <c r="O1399" i="1" s="1"/>
  <c r="P1398" i="1"/>
  <c r="N1400" i="1"/>
  <c r="M1400" i="1" s="1"/>
  <c r="M1379" i="1"/>
  <c r="N1379" i="1"/>
  <c r="R1379" i="1"/>
  <c r="Q1379" i="1"/>
  <c r="O1374" i="1"/>
  <c r="O1377" i="1"/>
  <c r="O1378" i="1" s="1"/>
  <c r="I1398" i="1"/>
  <c r="I1399" i="1" s="1"/>
  <c r="J1398" i="1"/>
  <c r="I1377" i="1"/>
  <c r="I1378" i="1" s="1"/>
  <c r="I1374" i="1"/>
  <c r="I402" i="1"/>
  <c r="J401" i="1"/>
  <c r="H402" i="1"/>
  <c r="J402" i="1" s="1"/>
  <c r="F306" i="1"/>
  <c r="H306" i="1" s="1"/>
  <c r="G306" i="1" s="1"/>
  <c r="E306" i="1"/>
  <c r="K805" i="1"/>
  <c r="D804" i="1"/>
  <c r="F802" i="1"/>
  <c r="E802" i="1"/>
  <c r="J803" i="1"/>
  <c r="G803" i="1"/>
  <c r="F404" i="1"/>
  <c r="G405" i="1"/>
  <c r="J777" i="1"/>
  <c r="D514" i="1"/>
  <c r="F514" i="1"/>
  <c r="E514" i="1" s="1"/>
  <c r="L362" i="1"/>
  <c r="M362" i="1" s="1"/>
  <c r="N362" i="1" s="1"/>
  <c r="K363" i="1"/>
  <c r="D688" i="1"/>
  <c r="G688" i="1" s="1"/>
  <c r="E689" i="1" s="1"/>
  <c r="I697" i="1"/>
  <c r="H696" i="1"/>
  <c r="K1624" i="1" l="1"/>
  <c r="K1626" i="1" s="1"/>
  <c r="K1627" i="1" s="1"/>
  <c r="M1633" i="1"/>
  <c r="O1624" i="1"/>
  <c r="O1626" i="1" s="1"/>
  <c r="Q1624" i="1"/>
  <c r="Q1626" i="1" s="1"/>
  <c r="Q1627" i="1" s="1"/>
  <c r="M1624" i="1"/>
  <c r="M1626" i="1" s="1"/>
  <c r="M1627" i="1" s="1"/>
  <c r="K1633" i="1"/>
  <c r="O1633" i="1"/>
  <c r="N1634" i="1"/>
  <c r="M1634" i="1"/>
  <c r="R1634" i="1"/>
  <c r="Q1634" i="1"/>
  <c r="N1615" i="1"/>
  <c r="M1619" i="1" s="1"/>
  <c r="L1615" i="1"/>
  <c r="K1619" i="1" s="1"/>
  <c r="M1615" i="1"/>
  <c r="R1615" i="1"/>
  <c r="Q1619" i="1" s="1"/>
  <c r="Q1615" i="1"/>
  <c r="K1615" i="1"/>
  <c r="O1615" i="1"/>
  <c r="P1615" i="1"/>
  <c r="O1619" i="1" s="1"/>
  <c r="J1615" i="1"/>
  <c r="I1624" i="1"/>
  <c r="I1626" i="1" s="1"/>
  <c r="J1603" i="1"/>
  <c r="K1603" i="1"/>
  <c r="O1602" i="1"/>
  <c r="P1603" i="1" s="1"/>
  <c r="N1603" i="1"/>
  <c r="Q1602" i="1"/>
  <c r="R1603" i="1" s="1"/>
  <c r="E865" i="1"/>
  <c r="G402" i="1"/>
  <c r="F402" i="1" s="1"/>
  <c r="K1367" i="1"/>
  <c r="K1413" i="1" s="1"/>
  <c r="L1413" i="1"/>
  <c r="L1373" i="1"/>
  <c r="K1373" i="1"/>
  <c r="K1396" i="1" s="1"/>
  <c r="K1397" i="1" s="1"/>
  <c r="P1400" i="1"/>
  <c r="O1400" i="1" s="1"/>
  <c r="O1379" i="1"/>
  <c r="P1379" i="1"/>
  <c r="Q1380" i="1"/>
  <c r="Q1405" i="1" s="1"/>
  <c r="Q1406" i="1" s="1"/>
  <c r="Q1408" i="1" s="1"/>
  <c r="M1380" i="1"/>
  <c r="M1405" i="1" s="1"/>
  <c r="M1406" i="1" s="1"/>
  <c r="M1408" i="1" s="1"/>
  <c r="J1400" i="1"/>
  <c r="J1379" i="1"/>
  <c r="I1379" i="1"/>
  <c r="E307" i="1"/>
  <c r="F307" i="1"/>
  <c r="H307" i="1" s="1"/>
  <c r="G307" i="1" s="1"/>
  <c r="F803" i="1"/>
  <c r="E803" i="1"/>
  <c r="J804" i="1"/>
  <c r="G804" i="1"/>
  <c r="F405" i="1"/>
  <c r="G406" i="1"/>
  <c r="F406" i="1" s="1"/>
  <c r="D805" i="1"/>
  <c r="E777" i="1"/>
  <c r="F777" i="1"/>
  <c r="G777" i="1"/>
  <c r="D515" i="1"/>
  <c r="G514" i="1"/>
  <c r="E515" i="1" s="1"/>
  <c r="L363" i="1"/>
  <c r="M363" i="1" s="1"/>
  <c r="N363" i="1" s="1"/>
  <c r="K364" i="1"/>
  <c r="F688" i="1"/>
  <c r="D689" i="1" s="1"/>
  <c r="F689" i="1" s="1"/>
  <c r="I698" i="1"/>
  <c r="H697" i="1"/>
  <c r="R1627" i="1" l="1"/>
  <c r="L1627" i="1"/>
  <c r="N1627" i="1"/>
  <c r="P1620" i="1"/>
  <c r="P1621" i="1" s="1"/>
  <c r="O1620" i="1"/>
  <c r="R1620" i="1"/>
  <c r="R1621" i="1" s="1"/>
  <c r="Q1620" i="1"/>
  <c r="P1627" i="1"/>
  <c r="O1627" i="1"/>
  <c r="O1634" i="1"/>
  <c r="P1634" i="1"/>
  <c r="R1635" i="1"/>
  <c r="Q1635" i="1"/>
  <c r="N1635" i="1"/>
  <c r="M1635" i="1"/>
  <c r="K1634" i="1"/>
  <c r="L1634" i="1"/>
  <c r="L1620" i="1"/>
  <c r="L1621" i="1" s="1"/>
  <c r="K1620" i="1"/>
  <c r="M1620" i="1"/>
  <c r="N1620" i="1"/>
  <c r="N1621" i="1" s="1"/>
  <c r="M1616" i="1"/>
  <c r="N1617" i="1" s="1"/>
  <c r="I1619" i="1"/>
  <c r="J1620" i="1" s="1"/>
  <c r="J1621" i="1" s="1"/>
  <c r="J1627" i="1"/>
  <c r="I1627" i="1"/>
  <c r="O1616" i="1"/>
  <c r="P1617" i="1" s="1"/>
  <c r="K1616" i="1"/>
  <c r="L1617" i="1" s="1"/>
  <c r="Q1616" i="1"/>
  <c r="R1617" i="1" s="1"/>
  <c r="I1616" i="1"/>
  <c r="I1617" i="1" s="1"/>
  <c r="Q1603" i="1"/>
  <c r="O1603" i="1"/>
  <c r="K1398" i="1"/>
  <c r="K1399" i="1" s="1"/>
  <c r="L1400" i="1" s="1"/>
  <c r="K1400" i="1" s="1"/>
  <c r="L1398" i="1"/>
  <c r="K1374" i="1"/>
  <c r="K1377" i="1"/>
  <c r="K1378" i="1" s="1"/>
  <c r="R1411" i="1"/>
  <c r="R1412" i="1" s="1"/>
  <c r="Q1411" i="1"/>
  <c r="M1411" i="1"/>
  <c r="N1411" i="1"/>
  <c r="N1412" i="1" s="1"/>
  <c r="M1381" i="1"/>
  <c r="N1385" i="1"/>
  <c r="M1387" i="1" s="1"/>
  <c r="Q1381" i="1"/>
  <c r="R1385" i="1"/>
  <c r="Q1387" i="1" s="1"/>
  <c r="O1380" i="1"/>
  <c r="O1405" i="1" s="1"/>
  <c r="O1406" i="1" s="1"/>
  <c r="O1408" i="1" s="1"/>
  <c r="I1400" i="1"/>
  <c r="I1380" i="1"/>
  <c r="E308" i="1"/>
  <c r="F308" i="1"/>
  <c r="H308" i="1" s="1"/>
  <c r="G308" i="1" s="1"/>
  <c r="G805" i="1"/>
  <c r="J805" i="1"/>
  <c r="F804" i="1"/>
  <c r="E804" i="1"/>
  <c r="G778" i="1"/>
  <c r="F515" i="1"/>
  <c r="D516" i="1"/>
  <c r="G515" i="1"/>
  <c r="E516" i="1" s="1"/>
  <c r="L364" i="1"/>
  <c r="M364" i="1" s="1"/>
  <c r="N364" i="1" s="1"/>
  <c r="K365" i="1"/>
  <c r="G689" i="1"/>
  <c r="E690" i="1" s="1"/>
  <c r="H698" i="1"/>
  <c r="I699" i="1"/>
  <c r="I1620" i="1" l="1"/>
  <c r="I1621" i="1" s="1"/>
  <c r="J1622" i="1" s="1"/>
  <c r="M1621" i="1"/>
  <c r="N1622" i="1" s="1"/>
  <c r="N1636" i="1" s="1"/>
  <c r="K1621" i="1"/>
  <c r="L1622" i="1" s="1"/>
  <c r="M1636" i="1"/>
  <c r="Q1621" i="1"/>
  <c r="R1622" i="1" s="1"/>
  <c r="O1635" i="1"/>
  <c r="P1635" i="1"/>
  <c r="O1621" i="1"/>
  <c r="P1622" i="1" s="1"/>
  <c r="O1636" i="1" s="1"/>
  <c r="K1635" i="1"/>
  <c r="L1635" i="1"/>
  <c r="M1617" i="1"/>
  <c r="J1634" i="1"/>
  <c r="I1634" i="1"/>
  <c r="Q1617" i="1"/>
  <c r="K1617" i="1"/>
  <c r="O1617" i="1"/>
  <c r="J1617" i="1"/>
  <c r="K1379" i="1"/>
  <c r="L1379" i="1"/>
  <c r="P1411" i="1"/>
  <c r="P1412" i="1" s="1"/>
  <c r="O1411" i="1"/>
  <c r="M1412" i="1"/>
  <c r="N1414" i="1" s="1"/>
  <c r="M1414" i="1" s="1"/>
  <c r="Q1412" i="1"/>
  <c r="R1414" i="1" s="1"/>
  <c r="Q1414" i="1" s="1"/>
  <c r="O1381" i="1"/>
  <c r="P1385" i="1"/>
  <c r="O1387" i="1" s="1"/>
  <c r="J1385" i="1"/>
  <c r="I1387" i="1" s="1"/>
  <c r="I1405" i="1"/>
  <c r="I1406" i="1" s="1"/>
  <c r="I1408" i="1" s="1"/>
  <c r="I1381" i="1"/>
  <c r="F309" i="1"/>
  <c r="H309" i="1" s="1"/>
  <c r="G309" i="1" s="1"/>
  <c r="E309" i="1"/>
  <c r="F805" i="1"/>
  <c r="E805" i="1"/>
  <c r="F516" i="1"/>
  <c r="J778" i="1"/>
  <c r="G779" i="1"/>
  <c r="D517" i="1"/>
  <c r="G516" i="1"/>
  <c r="E517" i="1" s="1"/>
  <c r="L365" i="1"/>
  <c r="M365" i="1" s="1"/>
  <c r="N365" i="1" s="1"/>
  <c r="K366" i="1"/>
  <c r="D690" i="1"/>
  <c r="F690" i="1" s="1"/>
  <c r="H699" i="1"/>
  <c r="I700" i="1"/>
  <c r="P1636" i="1" l="1"/>
  <c r="O1640" i="1" s="1"/>
  <c r="O1643" i="1" s="1"/>
  <c r="R1636" i="1"/>
  <c r="Q1636" i="1"/>
  <c r="J1635" i="1"/>
  <c r="I1635" i="1"/>
  <c r="I1636" i="1" s="1"/>
  <c r="M1640" i="1"/>
  <c r="M1643" i="1" s="1"/>
  <c r="L1636" i="1"/>
  <c r="K1636" i="1"/>
  <c r="O1412" i="1"/>
  <c r="P1414" i="1" s="1"/>
  <c r="O1414" i="1" s="1"/>
  <c r="K1380" i="1"/>
  <c r="K1405" i="1" s="1"/>
  <c r="K1406" i="1" s="1"/>
  <c r="K1408" i="1" s="1"/>
  <c r="J1411" i="1"/>
  <c r="J1412" i="1" s="1"/>
  <c r="J1424" i="1" s="1"/>
  <c r="J1433" i="1" s="1"/>
  <c r="I1411" i="1"/>
  <c r="F517" i="1"/>
  <c r="F310" i="1"/>
  <c r="H310" i="1" s="1"/>
  <c r="G310" i="1" s="1"/>
  <c r="E310" i="1"/>
  <c r="F778" i="1"/>
  <c r="E778" i="1"/>
  <c r="J779" i="1"/>
  <c r="G517" i="1"/>
  <c r="E518" i="1" s="1"/>
  <c r="D518" i="1"/>
  <c r="G518" i="1" s="1"/>
  <c r="L366" i="1"/>
  <c r="M366" i="1" s="1"/>
  <c r="N366" i="1" s="1"/>
  <c r="K367" i="1"/>
  <c r="G690" i="1"/>
  <c r="I701" i="1"/>
  <c r="H700" i="1"/>
  <c r="N1641" i="1" l="1"/>
  <c r="J1636" i="1"/>
  <c r="M1641" i="1"/>
  <c r="Q1640" i="1"/>
  <c r="Q1643" i="1" s="1"/>
  <c r="O1641" i="1"/>
  <c r="K1640" i="1"/>
  <c r="K1643" i="1" s="1"/>
  <c r="P1641" i="1"/>
  <c r="L1385" i="1"/>
  <c r="K1387" i="1" s="1"/>
  <c r="K1381" i="1"/>
  <c r="K1411" i="1"/>
  <c r="L1411" i="1"/>
  <c r="L1412" i="1" s="1"/>
  <c r="I1412" i="1"/>
  <c r="I1424" i="1" s="1"/>
  <c r="I1433" i="1" s="1"/>
  <c r="E311" i="1"/>
  <c r="F311" i="1"/>
  <c r="H311" i="1" s="1"/>
  <c r="G311" i="1" s="1"/>
  <c r="J780" i="1"/>
  <c r="E779" i="1"/>
  <c r="F779" i="1"/>
  <c r="G780" i="1"/>
  <c r="F518" i="1"/>
  <c r="E521" i="1"/>
  <c r="L367" i="1"/>
  <c r="M367" i="1" s="1"/>
  <c r="N367" i="1" s="1"/>
  <c r="K368" i="1"/>
  <c r="D691" i="1"/>
  <c r="E691" i="1"/>
  <c r="I702" i="1"/>
  <c r="H701" i="1"/>
  <c r="K1641" i="1" l="1"/>
  <c r="R1641" i="1"/>
  <c r="L1641" i="1"/>
  <c r="Q1641" i="1"/>
  <c r="I1640" i="1"/>
  <c r="I1643" i="1" s="1"/>
  <c r="K1412" i="1"/>
  <c r="L1414" i="1" s="1"/>
  <c r="K1414" i="1" s="1"/>
  <c r="J1414" i="1"/>
  <c r="I1414" i="1" s="1"/>
  <c r="F312" i="1"/>
  <c r="H312" i="1" s="1"/>
  <c r="G312" i="1" s="1"/>
  <c r="E312" i="1"/>
  <c r="F780" i="1"/>
  <c r="E780" i="1"/>
  <c r="J781" i="1"/>
  <c r="F521" i="1"/>
  <c r="F523" i="1" s="1"/>
  <c r="E523" i="1" s="1"/>
  <c r="D521" i="1"/>
  <c r="D523" i="1" s="1"/>
  <c r="L368" i="1"/>
  <c r="M368" i="1" s="1"/>
  <c r="N368" i="1" s="1"/>
  <c r="K369" i="1"/>
  <c r="F691" i="1"/>
  <c r="G691" i="1"/>
  <c r="E692" i="1" s="1"/>
  <c r="H702" i="1"/>
  <c r="I703" i="1"/>
  <c r="I1641" i="1" l="1"/>
  <c r="J1641" i="1"/>
  <c r="J1445" i="1"/>
  <c r="J1446" i="1" s="1"/>
  <c r="I1454" i="1" s="1"/>
  <c r="I1445" i="1"/>
  <c r="I1446" i="1" s="1"/>
  <c r="E313" i="1"/>
  <c r="F313" i="1"/>
  <c r="H313" i="1" s="1"/>
  <c r="G313" i="1" s="1"/>
  <c r="E781" i="1"/>
  <c r="F781" i="1"/>
  <c r="G781" i="1"/>
  <c r="G523" i="1"/>
  <c r="E524" i="1" s="1"/>
  <c r="F524" i="1" s="1"/>
  <c r="D524" i="1"/>
  <c r="L369" i="1"/>
  <c r="M369" i="1" s="1"/>
  <c r="N369" i="1" s="1"/>
  <c r="K370" i="1"/>
  <c r="H703" i="1"/>
  <c r="I704" i="1"/>
  <c r="D692" i="1"/>
  <c r="G692" i="1" s="1"/>
  <c r="E693" i="1" s="1"/>
  <c r="I1458" i="1" l="1"/>
  <c r="J1458" i="1"/>
  <c r="J1447" i="1"/>
  <c r="I1447" i="1"/>
  <c r="E314" i="1"/>
  <c r="F314" i="1"/>
  <c r="H314" i="1" s="1"/>
  <c r="G314" i="1" s="1"/>
  <c r="G782" i="1"/>
  <c r="G524" i="1"/>
  <c r="E525" i="1" s="1"/>
  <c r="F525" i="1" s="1"/>
  <c r="D525" i="1"/>
  <c r="L370" i="1"/>
  <c r="M370" i="1" s="1"/>
  <c r="N370" i="1" s="1"/>
  <c r="K371" i="1"/>
  <c r="F692" i="1"/>
  <c r="D693" i="1" s="1"/>
  <c r="G693" i="1" s="1"/>
  <c r="E694" i="1" s="1"/>
  <c r="I705" i="1"/>
  <c r="H704" i="1"/>
  <c r="I1450" i="1" l="1"/>
  <c r="J782" i="1"/>
  <c r="G525" i="1"/>
  <c r="E526" i="1" s="1"/>
  <c r="F526" i="1" s="1"/>
  <c r="D526" i="1"/>
  <c r="L371" i="1"/>
  <c r="M371" i="1" s="1"/>
  <c r="N371" i="1" s="1"/>
  <c r="K372" i="1"/>
  <c r="F693" i="1"/>
  <c r="D694" i="1" s="1"/>
  <c r="G694" i="1" s="1"/>
  <c r="E695" i="1" s="1"/>
  <c r="H705" i="1"/>
  <c r="I706" i="1"/>
  <c r="I1451" i="1" l="1"/>
  <c r="J1451" i="1"/>
  <c r="I1456" i="1" s="1"/>
  <c r="I1457" i="1" s="1"/>
  <c r="E782" i="1"/>
  <c r="F782" i="1"/>
  <c r="G783" i="1"/>
  <c r="J783" i="1"/>
  <c r="G526" i="1"/>
  <c r="E527" i="1" s="1"/>
  <c r="D527" i="1"/>
  <c r="G527" i="1" s="1"/>
  <c r="L372" i="1"/>
  <c r="M372" i="1" s="1"/>
  <c r="N372" i="1" s="1"/>
  <c r="K373" i="1"/>
  <c r="F694" i="1"/>
  <c r="D695" i="1" s="1"/>
  <c r="F695" i="1" s="1"/>
  <c r="H706" i="1"/>
  <c r="I707" i="1"/>
  <c r="F783" i="1" l="1"/>
  <c r="E783" i="1"/>
  <c r="E530" i="1"/>
  <c r="E840" i="1" s="1"/>
  <c r="F527" i="1"/>
  <c r="L373" i="1"/>
  <c r="M373" i="1" s="1"/>
  <c r="N373" i="1" s="1"/>
  <c r="K374" i="1"/>
  <c r="G695" i="1"/>
  <c r="E696" i="1" s="1"/>
  <c r="I708" i="1"/>
  <c r="H707" i="1"/>
  <c r="J1459" i="1" l="1"/>
  <c r="J1463" i="1" s="1"/>
  <c r="J1464" i="1" s="1"/>
  <c r="J1466" i="1" s="1"/>
  <c r="I1459" i="1"/>
  <c r="I1463" i="1" s="1"/>
  <c r="I1464" i="1" s="1"/>
  <c r="J784" i="1"/>
  <c r="G784" i="1"/>
  <c r="F530" i="1"/>
  <c r="F532" i="1" s="1"/>
  <c r="E532" i="1" s="1"/>
  <c r="D530" i="1"/>
  <c r="L374" i="1"/>
  <c r="M374" i="1" s="1"/>
  <c r="N374" i="1" s="1"/>
  <c r="K375" i="1"/>
  <c r="D696" i="1"/>
  <c r="F696" i="1" s="1"/>
  <c r="H708" i="1"/>
  <c r="I709" i="1"/>
  <c r="I1466" i="1" l="1"/>
  <c r="D532" i="1"/>
  <c r="G532" i="1" s="1"/>
  <c r="E533" i="1" s="1"/>
  <c r="F533" i="1" s="1"/>
  <c r="D840" i="1"/>
  <c r="E784" i="1"/>
  <c r="F784" i="1"/>
  <c r="L375" i="1"/>
  <c r="M375" i="1" s="1"/>
  <c r="N375" i="1" s="1"/>
  <c r="K376" i="1"/>
  <c r="G696" i="1"/>
  <c r="E697" i="1" s="1"/>
  <c r="I710" i="1"/>
  <c r="H709" i="1"/>
  <c r="D533" i="1" l="1"/>
  <c r="D534" i="1" s="1"/>
  <c r="D697" i="1"/>
  <c r="G697" i="1" s="1"/>
  <c r="E698" i="1" s="1"/>
  <c r="L376" i="1"/>
  <c r="M376" i="1" s="1"/>
  <c r="N376" i="1" s="1"/>
  <c r="K377" i="1"/>
  <c r="H710" i="1"/>
  <c r="I711" i="1"/>
  <c r="H711" i="1" s="1"/>
  <c r="G533" i="1" l="1"/>
  <c r="E534" i="1" s="1"/>
  <c r="F534" i="1" s="1"/>
  <c r="G534" i="1"/>
  <c r="D535" i="1"/>
  <c r="F697" i="1"/>
  <c r="D698" i="1" s="1"/>
  <c r="G698" i="1" s="1"/>
  <c r="E699" i="1" s="1"/>
  <c r="L377" i="1"/>
  <c r="M377" i="1" s="1"/>
  <c r="N377" i="1" s="1"/>
  <c r="K378" i="1"/>
  <c r="E535" i="1" l="1"/>
  <c r="F535" i="1" s="1"/>
  <c r="G535" i="1"/>
  <c r="D536" i="1"/>
  <c r="G536" i="1" s="1"/>
  <c r="F698" i="1"/>
  <c r="D699" i="1" s="1"/>
  <c r="F699" i="1" s="1"/>
  <c r="L378" i="1"/>
  <c r="M378" i="1" s="1"/>
  <c r="N378" i="1" s="1"/>
  <c r="K379" i="1"/>
  <c r="E536" i="1" l="1"/>
  <c r="E539" i="1" s="1"/>
  <c r="D539" i="1" s="1"/>
  <c r="D541" i="1" s="1"/>
  <c r="L379" i="1"/>
  <c r="M379" i="1" s="1"/>
  <c r="N379" i="1" s="1"/>
  <c r="K380" i="1"/>
  <c r="G699" i="1"/>
  <c r="F539" i="1" l="1"/>
  <c r="F541" i="1" s="1"/>
  <c r="E541" i="1" s="1"/>
  <c r="F536" i="1"/>
  <c r="D542" i="1"/>
  <c r="G541" i="1"/>
  <c r="L380" i="1"/>
  <c r="M380" i="1" s="1"/>
  <c r="N380" i="1" s="1"/>
  <c r="K381" i="1"/>
  <c r="D700" i="1"/>
  <c r="F700" i="1" s="1"/>
  <c r="E700" i="1"/>
  <c r="E542" i="1" l="1"/>
  <c r="F542" i="1" s="1"/>
  <c r="G542" i="1"/>
  <c r="D543" i="1"/>
  <c r="L381" i="1"/>
  <c r="M381" i="1" s="1"/>
  <c r="N381" i="1" s="1"/>
  <c r="K382" i="1"/>
  <c r="G700" i="1"/>
  <c r="E701" i="1" s="1"/>
  <c r="E543" i="1" l="1"/>
  <c r="F543" i="1" s="1"/>
  <c r="G543" i="1"/>
  <c r="D544" i="1"/>
  <c r="L382" i="1"/>
  <c r="M382" i="1" s="1"/>
  <c r="N382" i="1" s="1"/>
  <c r="K383" i="1"/>
  <c r="D701" i="1"/>
  <c r="G701" i="1" s="1"/>
  <c r="E702" i="1" s="1"/>
  <c r="E544" i="1" l="1"/>
  <c r="F544" i="1" s="1"/>
  <c r="G544" i="1"/>
  <c r="D545" i="1"/>
  <c r="G545" i="1" s="1"/>
  <c r="L383" i="1"/>
  <c r="M383" i="1" s="1"/>
  <c r="N383" i="1" s="1"/>
  <c r="K384" i="1"/>
  <c r="F701" i="1"/>
  <c r="D702" i="1" s="1"/>
  <c r="F702" i="1" s="1"/>
  <c r="E545" i="1" l="1"/>
  <c r="F545" i="1" s="1"/>
  <c r="L384" i="1"/>
  <c r="M384" i="1" s="1"/>
  <c r="N384" i="1" s="1"/>
  <c r="K385" i="1"/>
  <c r="G702" i="1"/>
  <c r="E703" i="1" s="1"/>
  <c r="E548" i="1" l="1"/>
  <c r="F548" i="1" s="1"/>
  <c r="F550" i="1" s="1"/>
  <c r="E550" i="1" s="1"/>
  <c r="L385" i="1"/>
  <c r="M385" i="1" s="1"/>
  <c r="N385" i="1" s="1"/>
  <c r="K386" i="1"/>
  <c r="D703" i="1"/>
  <c r="G703" i="1" s="1"/>
  <c r="E704" i="1" s="1"/>
  <c r="D548" i="1" l="1"/>
  <c r="D550" i="1" s="1"/>
  <c r="G550" i="1" s="1"/>
  <c r="E551" i="1" s="1"/>
  <c r="F551" i="1" s="1"/>
  <c r="L386" i="1"/>
  <c r="M386" i="1" s="1"/>
  <c r="N386" i="1" s="1"/>
  <c r="K387" i="1"/>
  <c r="F703" i="1"/>
  <c r="D704" i="1" s="1"/>
  <c r="F704" i="1" s="1"/>
  <c r="D551" i="1" l="1"/>
  <c r="D552" i="1" s="1"/>
  <c r="L387" i="1"/>
  <c r="M387" i="1" s="1"/>
  <c r="N387" i="1" s="1"/>
  <c r="K388" i="1"/>
  <c r="G704" i="1"/>
  <c r="E705" i="1" s="1"/>
  <c r="G551" i="1" l="1"/>
  <c r="E552" i="1" s="1"/>
  <c r="F552" i="1" s="1"/>
  <c r="G552" i="1"/>
  <c r="D553" i="1"/>
  <c r="L388" i="1"/>
  <c r="M388" i="1" s="1"/>
  <c r="N388" i="1" s="1"/>
  <c r="K389" i="1"/>
  <c r="D705" i="1"/>
  <c r="F705" i="1" s="1"/>
  <c r="E553" i="1" l="1"/>
  <c r="F553" i="1" s="1"/>
  <c r="D554" i="1"/>
  <c r="G554" i="1" s="1"/>
  <c r="G553" i="1"/>
  <c r="L389" i="1"/>
  <c r="M389" i="1" s="1"/>
  <c r="N389" i="1" s="1"/>
  <c r="K390" i="1"/>
  <c r="G705" i="1"/>
  <c r="E706" i="1" s="1"/>
  <c r="E554" i="1" l="1"/>
  <c r="E557" i="1" s="1"/>
  <c r="L390" i="1"/>
  <c r="M390" i="1" s="1"/>
  <c r="N390" i="1" s="1"/>
  <c r="K391" i="1"/>
  <c r="D706" i="1"/>
  <c r="G706" i="1" s="1"/>
  <c r="E707" i="1" s="1"/>
  <c r="F554" i="1" l="1"/>
  <c r="F557" i="1"/>
  <c r="F559" i="1" s="1"/>
  <c r="E559" i="1" s="1"/>
  <c r="D557" i="1"/>
  <c r="D559" i="1" s="1"/>
  <c r="L391" i="1"/>
  <c r="M391" i="1" s="1"/>
  <c r="N391" i="1" s="1"/>
  <c r="K392" i="1"/>
  <c r="F706" i="1"/>
  <c r="D707" i="1" s="1"/>
  <c r="G707" i="1" s="1"/>
  <c r="E708" i="1" s="1"/>
  <c r="G559" i="1" l="1"/>
  <c r="E560" i="1" s="1"/>
  <c r="F560" i="1" s="1"/>
  <c r="D560" i="1"/>
  <c r="L392" i="1"/>
  <c r="M392" i="1" s="1"/>
  <c r="N392" i="1" s="1"/>
  <c r="K393" i="1"/>
  <c r="F707" i="1"/>
  <c r="D708" i="1" s="1"/>
  <c r="F708" i="1" s="1"/>
  <c r="D561" i="1" l="1"/>
  <c r="G560" i="1"/>
  <c r="E561" i="1" s="1"/>
  <c r="F561" i="1" s="1"/>
  <c r="L393" i="1"/>
  <c r="M393" i="1" s="1"/>
  <c r="N393" i="1" s="1"/>
  <c r="K394" i="1"/>
  <c r="G708" i="1"/>
  <c r="D709" i="1" s="1"/>
  <c r="F709" i="1" s="1"/>
  <c r="D562" i="1" l="1"/>
  <c r="G561" i="1"/>
  <c r="E562" i="1" s="1"/>
  <c r="F562" i="1" s="1"/>
  <c r="L394" i="1"/>
  <c r="M394" i="1" s="1"/>
  <c r="N394" i="1" s="1"/>
  <c r="K395" i="1"/>
  <c r="E709" i="1"/>
  <c r="G709" i="1"/>
  <c r="G562" i="1" l="1"/>
  <c r="E563" i="1" s="1"/>
  <c r="D563" i="1"/>
  <c r="G563" i="1" s="1"/>
  <c r="L395" i="1"/>
  <c r="M395" i="1" s="1"/>
  <c r="N395" i="1" s="1"/>
  <c r="K396" i="1"/>
  <c r="D710" i="1"/>
  <c r="F710" i="1" s="1"/>
  <c r="E710" i="1"/>
  <c r="F563" i="1" l="1"/>
  <c r="E566" i="1"/>
  <c r="L396" i="1"/>
  <c r="M396" i="1" s="1"/>
  <c r="N396" i="1" s="1"/>
  <c r="K397" i="1"/>
  <c r="G710" i="1"/>
  <c r="E711" i="1" s="1"/>
  <c r="F566" i="1" l="1"/>
  <c r="F568" i="1" s="1"/>
  <c r="E568" i="1" s="1"/>
  <c r="D566" i="1"/>
  <c r="D568" i="1" s="1"/>
  <c r="L397" i="1"/>
  <c r="M397" i="1" s="1"/>
  <c r="N397" i="1" s="1"/>
  <c r="K398" i="1"/>
  <c r="D711" i="1"/>
  <c r="F711" i="1" s="1"/>
  <c r="G568" i="1" l="1"/>
  <c r="E569" i="1" s="1"/>
  <c r="F569" i="1" s="1"/>
  <c r="D569" i="1"/>
  <c r="L398" i="1"/>
  <c r="M398" i="1" s="1"/>
  <c r="N398" i="1" s="1"/>
  <c r="K399" i="1"/>
  <c r="G711" i="1"/>
  <c r="G569" i="1" l="1"/>
  <c r="E570" i="1" s="1"/>
  <c r="F570" i="1" s="1"/>
  <c r="D570" i="1"/>
  <c r="L399" i="1"/>
  <c r="M399" i="1" s="1"/>
  <c r="N399" i="1" s="1"/>
  <c r="K400" i="1"/>
  <c r="D571" i="1" l="1"/>
  <c r="G570" i="1"/>
  <c r="E571" i="1" s="1"/>
  <c r="F571" i="1" s="1"/>
  <c r="L400" i="1"/>
  <c r="M400" i="1" s="1"/>
  <c r="N400" i="1" s="1"/>
  <c r="K401" i="1"/>
  <c r="G571" i="1" l="1"/>
  <c r="E572" i="1" s="1"/>
  <c r="D572" i="1"/>
  <c r="G572" i="1" s="1"/>
  <c r="L401" i="1"/>
  <c r="M401" i="1" s="1"/>
  <c r="N401" i="1" s="1"/>
  <c r="K402" i="1"/>
  <c r="F572" i="1" l="1"/>
  <c r="E575" i="1"/>
  <c r="K403" i="1"/>
  <c r="L402" i="1"/>
  <c r="M402" i="1" s="1"/>
  <c r="N402" i="1" s="1"/>
  <c r="F575" i="1" l="1"/>
  <c r="F577" i="1" s="1"/>
  <c r="E577" i="1" s="1"/>
  <c r="D575" i="1"/>
  <c r="D577" i="1" s="1"/>
  <c r="K404" i="1"/>
  <c r="L403" i="1"/>
  <c r="M403" i="1" s="1"/>
  <c r="N403" i="1" s="1"/>
  <c r="G577" i="1" l="1"/>
  <c r="E578" i="1" s="1"/>
  <c r="F578" i="1" s="1"/>
  <c r="D578" i="1"/>
  <c r="K405" i="1"/>
  <c r="L404" i="1"/>
  <c r="M404" i="1" s="1"/>
  <c r="N404" i="1" s="1"/>
  <c r="D579" i="1" l="1"/>
  <c r="G578" i="1"/>
  <c r="E579" i="1" s="1"/>
  <c r="F579" i="1" s="1"/>
  <c r="K406" i="1"/>
  <c r="G824" i="1" s="1"/>
  <c r="E828" i="1" s="1"/>
  <c r="F828" i="1" s="1"/>
  <c r="I819" i="1" s="1"/>
  <c r="L405" i="1"/>
  <c r="M405" i="1" s="1"/>
  <c r="N405" i="1" s="1"/>
  <c r="I854" i="1" l="1"/>
  <c r="I858" i="1" s="1"/>
  <c r="J859" i="1" s="1"/>
  <c r="I835" i="1"/>
  <c r="L406" i="1"/>
  <c r="M406" i="1" s="1"/>
  <c r="N406" i="1" s="1"/>
  <c r="G579" i="1"/>
  <c r="E580" i="1" s="1"/>
  <c r="F580" i="1" s="1"/>
  <c r="D580" i="1"/>
  <c r="I859" i="1" l="1"/>
  <c r="J836" i="1"/>
  <c r="I836" i="1"/>
  <c r="I847" i="1" s="1"/>
  <c r="G580" i="1"/>
  <c r="E581" i="1" s="1"/>
  <c r="E584" i="1" s="1"/>
  <c r="D584" i="1" s="1"/>
  <c r="D586" i="1" s="1"/>
  <c r="D581" i="1"/>
  <c r="G581" i="1" s="1"/>
  <c r="I860" i="1" l="1"/>
  <c r="I875" i="1"/>
  <c r="J860" i="1"/>
  <c r="F584" i="1"/>
  <c r="F586" i="1" s="1"/>
  <c r="E586" i="1" s="1"/>
  <c r="F581" i="1"/>
  <c r="G586" i="1"/>
  <c r="D587" i="1"/>
  <c r="K872" i="1" l="1"/>
  <c r="H872" i="1" s="1"/>
  <c r="J872" i="1" s="1"/>
  <c r="I879" i="1"/>
  <c r="J879" i="1"/>
  <c r="E587" i="1"/>
  <c r="F587" i="1" s="1"/>
  <c r="G587" i="1"/>
  <c r="D588" i="1"/>
  <c r="E588" i="1" l="1"/>
  <c r="F588" i="1" s="1"/>
  <c r="K881" i="1"/>
  <c r="H881" i="1" s="1"/>
  <c r="J881" i="1" s="1"/>
  <c r="I872" i="1"/>
  <c r="G588" i="1"/>
  <c r="D589" i="1"/>
  <c r="E589" i="1" l="1"/>
  <c r="F589" i="1" s="1"/>
  <c r="I881" i="1"/>
  <c r="G589" i="1"/>
  <c r="D590" i="1"/>
  <c r="G590" i="1" s="1"/>
  <c r="E590" i="1" l="1"/>
  <c r="F590" i="1" s="1"/>
  <c r="E593" i="1" l="1"/>
  <c r="F593" i="1" s="1"/>
  <c r="F595" i="1" s="1"/>
  <c r="E595" i="1" s="1"/>
  <c r="D593" i="1" l="1"/>
  <c r="D595" i="1" s="1"/>
  <c r="G595" i="1" s="1"/>
  <c r="E596" i="1" s="1"/>
  <c r="D596" i="1" l="1"/>
  <c r="G596" i="1" s="1"/>
  <c r="E597" i="1" s="1"/>
  <c r="F596" i="1"/>
  <c r="D597" i="1" l="1"/>
  <c r="G597" i="1" s="1"/>
  <c r="E598" i="1" s="1"/>
  <c r="F597" i="1"/>
  <c r="D598" i="1" l="1"/>
  <c r="G598" i="1" s="1"/>
  <c r="E599" i="1" s="1"/>
  <c r="F598" i="1"/>
  <c r="D599" i="1" l="1"/>
  <c r="G599" i="1" s="1"/>
  <c r="F599" i="1"/>
  <c r="E602" i="1"/>
  <c r="F602" i="1" l="1"/>
  <c r="F604" i="1" s="1"/>
  <c r="E604" i="1" s="1"/>
  <c r="D602" i="1"/>
  <c r="D604" i="1" s="1"/>
  <c r="G604" i="1" l="1"/>
  <c r="E605" i="1" s="1"/>
  <c r="D605" i="1"/>
  <c r="G605" i="1" l="1"/>
  <c r="E606" i="1" s="1"/>
  <c r="D606" i="1"/>
  <c r="F605" i="1"/>
  <c r="F606" i="1" l="1"/>
  <c r="G606" i="1"/>
  <c r="E607" i="1" s="1"/>
  <c r="D607" i="1"/>
  <c r="F607" i="1" l="1"/>
  <c r="G607" i="1"/>
  <c r="E608" i="1" s="1"/>
  <c r="E611" i="1" s="1"/>
  <c r="D608" i="1"/>
  <c r="F611" i="1" l="1"/>
  <c r="F613" i="1" s="1"/>
  <c r="E613" i="1" s="1"/>
  <c r="D611" i="1"/>
  <c r="D613" i="1" s="1"/>
  <c r="F608" i="1"/>
  <c r="G608" i="1"/>
  <c r="G613" i="1" l="1"/>
  <c r="E614" i="1" s="1"/>
  <c r="D614" i="1"/>
  <c r="G614" i="1" l="1"/>
  <c r="E615" i="1" s="1"/>
  <c r="D615" i="1"/>
  <c r="F614" i="1"/>
  <c r="F615" i="1" l="1"/>
  <c r="G615" i="1"/>
  <c r="E616" i="1" s="1"/>
  <c r="D616" i="1"/>
  <c r="F616" i="1" l="1"/>
  <c r="G616" i="1"/>
  <c r="E617" i="1" s="1"/>
  <c r="D617" i="1"/>
  <c r="G617" i="1" s="1"/>
  <c r="F617" i="1" l="1"/>
  <c r="E620" i="1"/>
  <c r="F620" i="1" l="1"/>
  <c r="D620" i="1"/>
  <c r="D622" i="1" s="1"/>
  <c r="H884" i="1" s="1"/>
  <c r="H898" i="1" s="1"/>
  <c r="F622" i="1" l="1"/>
  <c r="F840" i="1"/>
  <c r="G840" i="1" s="1"/>
  <c r="G841" i="1" s="1"/>
  <c r="G622" i="1"/>
  <c r="D623" i="1"/>
  <c r="E622" i="1" l="1"/>
  <c r="I884" i="1" s="1"/>
  <c r="I898" i="1" s="1"/>
  <c r="J884" i="1"/>
  <c r="J898" i="1" s="1"/>
  <c r="G842" i="1"/>
  <c r="D841" i="1"/>
  <c r="F841" i="1" s="1"/>
  <c r="G623" i="1"/>
  <c r="D624" i="1"/>
  <c r="E623" i="1" l="1"/>
  <c r="F623" i="1" s="1"/>
  <c r="K884" i="1"/>
  <c r="D842" i="1"/>
  <c r="E842" i="1" s="1"/>
  <c r="K851" i="1"/>
  <c r="H851" i="1" s="1"/>
  <c r="J851" i="1" s="1"/>
  <c r="K844" i="1"/>
  <c r="E841" i="1"/>
  <c r="G624" i="1"/>
  <c r="D625" i="1"/>
  <c r="E624" i="1" l="1"/>
  <c r="F624" i="1" s="1"/>
  <c r="K891" i="1"/>
  <c r="K894" i="1" s="1"/>
  <c r="K895" i="1" s="1"/>
  <c r="K898" i="1"/>
  <c r="K900" i="1" s="1"/>
  <c r="K903" i="1" s="1"/>
  <c r="F842" i="1"/>
  <c r="I851" i="1"/>
  <c r="H844" i="1"/>
  <c r="I844" i="1" s="1"/>
  <c r="G625" i="1"/>
  <c r="D626" i="1"/>
  <c r="G626" i="1" s="1"/>
  <c r="E625" i="1" l="1"/>
  <c r="E626" i="1" s="1"/>
  <c r="H891" i="1"/>
  <c r="J891" i="1" s="1"/>
  <c r="H894" i="1"/>
  <c r="I894" i="1" s="1"/>
  <c r="K904" i="1"/>
  <c r="H903" i="1"/>
  <c r="I903" i="1" s="1"/>
  <c r="H900" i="1"/>
  <c r="I900" i="1" s="1"/>
  <c r="H895" i="1"/>
  <c r="I895" i="1" s="1"/>
  <c r="J844" i="1"/>
  <c r="F625" i="1" l="1"/>
  <c r="F626" i="1" s="1"/>
  <c r="I891" i="1"/>
  <c r="J894" i="1"/>
  <c r="J903" i="1"/>
  <c r="H904" i="1"/>
  <c r="J904" i="1" s="1"/>
  <c r="J900" i="1"/>
  <c r="J895" i="1"/>
  <c r="I904" i="1" l="1"/>
</calcChain>
</file>

<file path=xl/comments1.xml><?xml version="1.0" encoding="utf-8"?>
<comments xmlns="http://schemas.openxmlformats.org/spreadsheetml/2006/main">
  <authors>
    <author>Daniel Patrick Morgan</author>
  </authors>
  <commentList>
    <comment ref="A8" authorId="0">
      <text>
        <r>
          <rPr>
            <b/>
            <sz val="9"/>
            <color indexed="81"/>
            <rFont val="Tahoma"/>
            <family val="2"/>
          </rPr>
          <t>Daniel Patrick Morgan:</t>
        </r>
        <r>
          <rPr>
            <sz val="9"/>
            <color indexed="81"/>
            <rFont val="Tahoma"/>
            <family val="2"/>
          </rPr>
          <t xml:space="preserve">
The paragraph numbers are as per Cullen (2017), </t>
        </r>
        <r>
          <rPr>
            <i/>
            <sz val="9"/>
            <color indexed="81"/>
            <rFont val="Tahoma"/>
            <family val="2"/>
          </rPr>
          <t>Foundations of Celestial Reckoning</t>
        </r>
      </text>
    </comment>
  </commentList>
</comments>
</file>

<file path=xl/sharedStrings.xml><?xml version="1.0" encoding="utf-8"?>
<sst xmlns="http://schemas.openxmlformats.org/spreadsheetml/2006/main" count="2329" uniqueCount="1192">
  <si>
    <t>後漢書志第三</t>
  </si>
  <si>
    <t>律曆下</t>
  </si>
  <si>
    <t>曆法</t>
  </si>
  <si>
    <t>I.</t>
  </si>
  <si>
    <t>Epochal year:</t>
  </si>
  <si>
    <t>又上兩元，而月食五星之元，並發端焉。</t>
  </si>
  <si>
    <t>II.</t>
  </si>
  <si>
    <t>THE NUMBERS Sun and Moon</t>
  </si>
  <si>
    <t>Calendar numbers are derived from “instruments” and gnomons, comparing shadows... 365.25 days... intercalation...  (explanation of derivation of constants and basic methods)</t>
  </si>
  <si>
    <t>紀月，萬八千八百。</t>
  </si>
  <si>
    <t>蔀月，九百四十。</t>
  </si>
  <si>
    <t>章法，十九。</t>
  </si>
  <si>
    <t>周天，千四百六十一。</t>
  </si>
  <si>
    <t>日法，四。</t>
  </si>
  <si>
    <t>蔀日，二萬七千七百五十九。</t>
  </si>
  <si>
    <t>通法，四百八十七。</t>
  </si>
  <si>
    <t>沒法，七，因為章閏。</t>
  </si>
  <si>
    <t>日餘，百六十八。</t>
  </si>
  <si>
    <t>大周，三十四萬三千三百三十五。</t>
  </si>
  <si>
    <t>月周千一十六。</t>
  </si>
  <si>
    <t>元會，四萬一千四十。</t>
  </si>
  <si>
    <t>歲數，五百一十三。</t>
  </si>
  <si>
    <t>食數，千八十一。</t>
  </si>
  <si>
    <t>III.</t>
  </si>
  <si>
    <t>III.1</t>
  </si>
  <si>
    <t>QI AND NEW MOONS</t>
  </si>
  <si>
    <t>3.5</t>
  </si>
  <si>
    <t>3.6</t>
  </si>
  <si>
    <t>地紀歲名</t>
  </si>
  <si>
    <t>人紀歲名</t>
  </si>
  <si>
    <t>蔀首</t>
  </si>
  <si>
    <t>庚辰</t>
  </si>
  <si>
    <t>庚子</t>
  </si>
  <si>
    <t>庚申</t>
  </si>
  <si>
    <t>甲子</t>
  </si>
  <si>
    <t>丙申</t>
  </si>
  <si>
    <t>丙辰</t>
  </si>
  <si>
    <t>丙子</t>
  </si>
  <si>
    <t>癸卯</t>
  </si>
  <si>
    <t>壬子</t>
  </si>
  <si>
    <t>壬申</t>
  </si>
  <si>
    <t>壬辰</t>
  </si>
  <si>
    <t>壬午</t>
  </si>
  <si>
    <t>戊辰</t>
  </si>
  <si>
    <t>戊子</t>
  </si>
  <si>
    <t>戊申</t>
  </si>
  <si>
    <t>辛酉</t>
  </si>
  <si>
    <t>甲申</t>
  </si>
  <si>
    <t>甲辰</t>
  </si>
  <si>
    <t>己卯</t>
  </si>
  <si>
    <t>戊午</t>
  </si>
  <si>
    <t>丁酉</t>
  </si>
  <si>
    <t>乙卯</t>
  </si>
  <si>
    <t>甲午</t>
  </si>
  <si>
    <t>癸酉</t>
  </si>
  <si>
    <t>辛卯</t>
  </si>
  <si>
    <t>庚午</t>
  </si>
  <si>
    <t xml:space="preserve"> </t>
  </si>
  <si>
    <t>丁卯</t>
  </si>
  <si>
    <t>丙午</t>
  </si>
  <si>
    <t>乙酉</t>
  </si>
  <si>
    <t>天正</t>
  </si>
  <si>
    <t>二月</t>
  </si>
  <si>
    <t>三月</t>
  </si>
  <si>
    <t>四月</t>
  </si>
  <si>
    <t>五月</t>
  </si>
  <si>
    <t>六月</t>
  </si>
  <si>
    <t>七月</t>
  </si>
  <si>
    <t>八月</t>
  </si>
  <si>
    <t>九月</t>
  </si>
  <si>
    <t>十月</t>
  </si>
  <si>
    <t>十一月</t>
  </si>
  <si>
    <t>十二月</t>
  </si>
  <si>
    <t>十三月</t>
  </si>
  <si>
    <t>立冬</t>
  </si>
  <si>
    <t>小雪</t>
  </si>
  <si>
    <t>大雪</t>
  </si>
  <si>
    <t>冬至</t>
  </si>
  <si>
    <t>小寒</t>
  </si>
  <si>
    <t>大寒</t>
  </si>
  <si>
    <t>立春</t>
  </si>
  <si>
    <t>雨水</t>
  </si>
  <si>
    <t>驚蟄</t>
  </si>
  <si>
    <t>春分</t>
  </si>
  <si>
    <t>清明</t>
  </si>
  <si>
    <t>穀雨</t>
  </si>
  <si>
    <t>立夏</t>
  </si>
  <si>
    <t>小滿</t>
  </si>
  <si>
    <t>芒種</t>
  </si>
  <si>
    <t>夏至</t>
  </si>
  <si>
    <t>小暑</t>
  </si>
  <si>
    <t>大暑</t>
  </si>
  <si>
    <t>立秋</t>
  </si>
  <si>
    <t>處暑</t>
  </si>
  <si>
    <t>白露</t>
  </si>
  <si>
    <t>秋分</t>
  </si>
  <si>
    <t>寒露</t>
  </si>
  <si>
    <t>霜降</t>
  </si>
  <si>
    <t>或進退，以中氣定之。</t>
  </si>
  <si>
    <t>因其月朔大小餘之數，皆加大餘七，小餘三百五十九四分三，小餘滿蔀月得一，加大餘，大餘命如法，得上弦。又加得望，次下弦，又後月朔。</t>
  </si>
  <si>
    <t>大餘</t>
  </si>
  <si>
    <t>小餘</t>
  </si>
  <si>
    <t>上弦</t>
  </si>
  <si>
    <t>望</t>
  </si>
  <si>
    <t>下弦</t>
  </si>
  <si>
    <t>求後沒，加大餘六十九，小餘四，小餘滿沒法，從大餘，命之如前，無分為滅。</t>
  </si>
  <si>
    <t>以宿次除之，不滿宿，則日月合朔所在星度也。</t>
  </si>
  <si>
    <r>
      <t>求後合朔</t>
    </r>
    <r>
      <rPr>
        <sz val="10"/>
        <rFont val="SimSun"/>
      </rPr>
      <t>，加度二十九，加分四百九十九，分滿蔀月得一度，經斗除二百三十五分。</t>
    </r>
  </si>
  <si>
    <t>…</t>
  </si>
  <si>
    <r>
      <t>求次日</t>
    </r>
    <r>
      <rPr>
        <sz val="10"/>
        <rFont val="SimSun"/>
      </rPr>
      <t>，加十三度二十八分。</t>
    </r>
  </si>
  <si>
    <t>求次月，大加三十五度六十一分，月小二十二度三十三分，分滿法得一度，經斗除十九分。</t>
  </si>
  <si>
    <t>Velocity</t>
  </si>
  <si>
    <t>III.2</t>
  </si>
  <si>
    <t>ECLIPSES</t>
  </si>
  <si>
    <t>no.</t>
  </si>
  <si>
    <t>閏或進退，以朔日定之。</t>
  </si>
  <si>
    <t>其月餘分不滿二十者，又加大餘二十九，小餘四百九十九。</t>
  </si>
  <si>
    <t>其食小餘者，當以漏刻課之，夜漏未盡，以筭上為日。</t>
  </si>
  <si>
    <t>IV.</t>
  </si>
  <si>
    <t>THE NUMBERS Planetary Synodic Phenomena</t>
  </si>
  <si>
    <t>五星數之生也，各記於日，與周天度相約而為率。</t>
  </si>
  <si>
    <t>日率相約取之，得二千九百九十萬一千六百二十一億五十八萬二千三百，而五星終，如蔀之數，與元通。</t>
  </si>
  <si>
    <r>
      <t xml:space="preserve">木 </t>
    </r>
    <r>
      <rPr>
        <b/>
        <sz val="16"/>
        <color indexed="8"/>
        <rFont val="Times New Roman"/>
        <family val="1"/>
        <charset val="134"/>
      </rPr>
      <t>Jupiter</t>
    </r>
  </si>
  <si>
    <t>周率，四千三百二十七。</t>
  </si>
  <si>
    <t>日率，四千七百二十五。</t>
  </si>
  <si>
    <t>合積月，十三。</t>
  </si>
  <si>
    <t>月餘，四萬一千六百六。</t>
  </si>
  <si>
    <t>月法，八萬二千二百一十三。</t>
  </si>
  <si>
    <t>大餘，二十三。</t>
  </si>
  <si>
    <t>小餘，八百四十七。</t>
  </si>
  <si>
    <t>虛分，九十三。</t>
  </si>
  <si>
    <t>入月日，十五。</t>
  </si>
  <si>
    <t>日度法，萬七千三百八。</t>
  </si>
  <si>
    <t>積度，三十三。</t>
  </si>
  <si>
    <t>度餘，萬三百一十四。</t>
  </si>
  <si>
    <r>
      <t xml:space="preserve">火 </t>
    </r>
    <r>
      <rPr>
        <b/>
        <sz val="16"/>
        <color indexed="8"/>
        <rFont val="Times New Roman"/>
        <family val="1"/>
        <charset val="134"/>
      </rPr>
      <t>Mars</t>
    </r>
  </si>
  <si>
    <t>周率，八百七十九。</t>
  </si>
  <si>
    <t>日率，千八百七十六。</t>
  </si>
  <si>
    <t>合積月，二十六。</t>
  </si>
  <si>
    <t>月餘，六千六百三十四。</t>
  </si>
  <si>
    <t>月法，萬六千七百一。</t>
  </si>
  <si>
    <t>大餘，四十七。</t>
  </si>
  <si>
    <t>小餘，七百五十四。</t>
  </si>
  <si>
    <t>虛分，一百八十六。</t>
  </si>
  <si>
    <t>日餘，千八百七十二。</t>
  </si>
  <si>
    <t>日度法，三千五百一十六。</t>
  </si>
  <si>
    <t>積度，四十九。</t>
  </si>
  <si>
    <t>度餘，一百一十四。</t>
  </si>
  <si>
    <r>
      <t xml:space="preserve">土 </t>
    </r>
    <r>
      <rPr>
        <b/>
        <sz val="16"/>
        <color indexed="8"/>
        <rFont val="Times New Roman"/>
        <family val="1"/>
        <charset val="134"/>
      </rPr>
      <t>Saturn</t>
    </r>
  </si>
  <si>
    <t>周率，九千九十六。</t>
  </si>
  <si>
    <t>日率，九千四百一十五。</t>
  </si>
  <si>
    <t>合積月，十二。</t>
  </si>
  <si>
    <t>月餘，十三萬八千六百三十七。</t>
  </si>
  <si>
    <t>月法，十七萬二千八百二十四。</t>
  </si>
  <si>
    <t>大餘，五十四。</t>
  </si>
  <si>
    <t>小餘，三百四十八。</t>
  </si>
  <si>
    <t>虛分，五百九十二。</t>
  </si>
  <si>
    <t>日餘，二千一百六十三。</t>
  </si>
  <si>
    <t>日度法，三萬六千三百八十四。</t>
  </si>
  <si>
    <t>積度，十二。</t>
  </si>
  <si>
    <t>度餘，二萬九千四百五十一。</t>
  </si>
  <si>
    <t>金 Venus</t>
  </si>
  <si>
    <t>周率，五千八百三十。</t>
  </si>
  <si>
    <t>日率，四千六百六十一。</t>
  </si>
  <si>
    <t>合積月，九。</t>
  </si>
  <si>
    <t>月餘，九萬八千四百五。</t>
  </si>
  <si>
    <t>大餘，二十五。</t>
  </si>
  <si>
    <t>小餘，七百三十一。</t>
  </si>
  <si>
    <t>虛分，二百九。</t>
  </si>
  <si>
    <t>入月日，二十六。</t>
  </si>
  <si>
    <t>日餘，二百八十一。</t>
  </si>
  <si>
    <t>日度法，二萬三千三百二十。</t>
  </si>
  <si>
    <t>積度，二百九十二。</t>
  </si>
  <si>
    <t>度餘，二百八十一。</t>
  </si>
  <si>
    <t>水 Mercury</t>
  </si>
  <si>
    <t>周率，萬一千九百八。</t>
  </si>
  <si>
    <t>日率，千八百八十九。</t>
  </si>
  <si>
    <t>合積月，一。</t>
  </si>
  <si>
    <t>月法，二十二萬六千二百五十二。</t>
  </si>
  <si>
    <t>大餘，二十九。</t>
  </si>
  <si>
    <t>小餘，四百九十九。</t>
  </si>
  <si>
    <t>日餘，四萬四千八百五。</t>
  </si>
  <si>
    <t>積度，五十七。</t>
  </si>
  <si>
    <t>度餘四萬四千八百五。</t>
  </si>
  <si>
    <t>Jupiter</t>
  </si>
  <si>
    <t>Mars</t>
  </si>
  <si>
    <t>Saturn</t>
  </si>
  <si>
    <t>Venus</t>
  </si>
  <si>
    <t>Mercury</t>
  </si>
  <si>
    <t>求合度，以積度度餘加今所得，餘滿日度法得一從度，命如前，經斗除如周率矣。</t>
  </si>
  <si>
    <t>VI.</t>
  </si>
  <si>
    <t>THE NUMBERS Planetary Motion Models</t>
  </si>
  <si>
    <t>Days</t>
  </si>
  <si>
    <t>Distance</t>
  </si>
  <si>
    <t>Days from Conj.</t>
  </si>
  <si>
    <t>Du since Conj.</t>
  </si>
  <si>
    <t>晨伏</t>
  </si>
  <si>
    <t>見順</t>
  </si>
  <si>
    <t>微遲</t>
  </si>
  <si>
    <t>留不行</t>
  </si>
  <si>
    <t>旋逆</t>
  </si>
  <si>
    <t>復留</t>
  </si>
  <si>
    <t>復順</t>
  </si>
  <si>
    <t>又</t>
  </si>
  <si>
    <t>伏復</t>
  </si>
  <si>
    <t>Totals</t>
  </si>
  <si>
    <t>Day parts</t>
  </si>
  <si>
    <t>Du parts</t>
  </si>
  <si>
    <t>Hidden</t>
  </si>
  <si>
    <t>Visible</t>
  </si>
  <si>
    <t>見逆</t>
  </si>
  <si>
    <t>〔旋〕順</t>
  </si>
  <si>
    <t>而〔疾〕</t>
  </si>
  <si>
    <t>益疾</t>
  </si>
  <si>
    <t>伏</t>
  </si>
  <si>
    <t>夕伏</t>
  </si>
  <si>
    <t>見順疾</t>
  </si>
  <si>
    <t>微遟</t>
  </si>
  <si>
    <t>而（進）〔遟〕</t>
  </si>
  <si>
    <r>
      <t>水，</t>
    </r>
    <r>
      <rPr>
        <b/>
        <sz val="10"/>
        <rFont val="SimSun"/>
      </rPr>
      <t>晨伏</t>
    </r>
    <r>
      <rPr>
        <sz val="10"/>
        <rFont val="SimSun"/>
      </rPr>
      <t>，九日，退七度，在日後十六度，而見東方。</t>
    </r>
    <r>
      <rPr>
        <b/>
        <sz val="10"/>
        <rFont val="SimSun"/>
      </rPr>
      <t>見逆</t>
    </r>
    <r>
      <rPr>
        <sz val="10"/>
        <rFont val="SimSun"/>
      </rPr>
      <t>，一日退一度。</t>
    </r>
    <r>
      <rPr>
        <b/>
        <sz val="10"/>
        <rFont val="SimSun"/>
      </rPr>
      <t>留不得</t>
    </r>
    <r>
      <rPr>
        <sz val="10"/>
        <rFont val="SimSun"/>
      </rPr>
      <t>，二日。</t>
    </r>
    <r>
      <rPr>
        <b/>
        <sz val="10"/>
        <rFont val="SimSun"/>
      </rPr>
      <t>旋順</t>
    </r>
    <r>
      <rPr>
        <sz val="10"/>
        <rFont val="SimSun"/>
      </rPr>
      <t>，日行九分度之八，九日行八度。</t>
    </r>
    <r>
      <rPr>
        <b/>
        <sz val="10"/>
        <rFont val="SimSun"/>
      </rPr>
      <t>而疾</t>
    </r>
    <r>
      <rPr>
        <sz val="10"/>
        <rFont val="SimSun"/>
      </rPr>
      <t>，日行一度四分度之一，二十日行二十五度，在日後十六度，而晨伏東方。除伏逆，一見，三十二日，行三十二度，伏十六日四萬四千八百五分，行三十二度四萬四千八百五分，而與日合。一合五十七日有四萬四千八百五分，行星如之。</t>
    </r>
  </si>
  <si>
    <t>留不得</t>
  </si>
  <si>
    <t>旋順</t>
  </si>
  <si>
    <t>而疾</t>
  </si>
  <si>
    <t>順遲</t>
  </si>
  <si>
    <t>VII.</t>
  </si>
  <si>
    <t>THE METHODS Planetary Motion Models</t>
  </si>
  <si>
    <t>VIII.</t>
  </si>
  <si>
    <t>TABLES</t>
  </si>
  <si>
    <t>Table 1: (Solar) Month Names</t>
  </si>
  <si>
    <t>天正十一月</t>
  </si>
  <si>
    <t>正月</t>
  </si>
  <si>
    <t>Table 2: The Lodges and RA-Longitude Coversion</t>
  </si>
  <si>
    <t>牛八</t>
  </si>
  <si>
    <t>北方九十八度四分一</t>
  </si>
  <si>
    <t>奎十六</t>
  </si>
  <si>
    <r>
      <t>觜二</t>
    </r>
    <r>
      <rPr>
        <sz val="7"/>
        <color indexed="8"/>
        <rFont val="SimSun"/>
      </rPr>
      <t>退三</t>
    </r>
  </si>
  <si>
    <r>
      <t>參九</t>
    </r>
    <r>
      <rPr>
        <sz val="7"/>
        <color indexed="8"/>
        <rFont val="SimSun"/>
      </rPr>
      <t>退四</t>
    </r>
  </si>
  <si>
    <t>西方八十度</t>
  </si>
  <si>
    <r>
      <t>井三十三</t>
    </r>
    <r>
      <rPr>
        <sz val="7"/>
        <color indexed="8"/>
        <rFont val="SimSun"/>
      </rPr>
      <t>退三</t>
    </r>
  </si>
  <si>
    <t>鬼四</t>
  </si>
  <si>
    <t>柳十五</t>
  </si>
  <si>
    <r>
      <t>星七</t>
    </r>
    <r>
      <rPr>
        <sz val="7"/>
        <color indexed="8"/>
        <rFont val="SimSun"/>
      </rPr>
      <t>進一</t>
    </r>
  </si>
  <si>
    <r>
      <t>張十八</t>
    </r>
    <r>
      <rPr>
        <sz val="7"/>
        <color indexed="8"/>
        <rFont val="SimSun"/>
      </rPr>
      <t>進一</t>
    </r>
  </si>
  <si>
    <r>
      <t>軫十七</t>
    </r>
    <r>
      <rPr>
        <sz val="7"/>
        <color indexed="8"/>
        <rFont val="SimSun"/>
      </rPr>
      <t>進一</t>
    </r>
  </si>
  <si>
    <t>南方百一十二度</t>
  </si>
  <si>
    <t>角十二</t>
  </si>
  <si>
    <r>
      <t>亢九</t>
    </r>
    <r>
      <rPr>
        <sz val="7"/>
        <color indexed="8"/>
        <rFont val="SimSun"/>
      </rPr>
      <t>退一</t>
    </r>
  </si>
  <si>
    <r>
      <t>氐十五</t>
    </r>
    <r>
      <rPr>
        <sz val="7"/>
        <color indexed="8"/>
        <rFont val="SimSun"/>
      </rPr>
      <t>退二</t>
    </r>
  </si>
  <si>
    <r>
      <t>房五</t>
    </r>
    <r>
      <rPr>
        <sz val="7"/>
        <color indexed="8"/>
        <rFont val="SimSun"/>
      </rPr>
      <t>退三</t>
    </r>
  </si>
  <si>
    <r>
      <t>心五</t>
    </r>
    <r>
      <rPr>
        <sz val="7"/>
        <color indexed="8"/>
        <rFont val="SimSun"/>
      </rPr>
      <t>退三</t>
    </r>
  </si>
  <si>
    <r>
      <t>箕十一</t>
    </r>
    <r>
      <rPr>
        <sz val="7"/>
        <color indexed="8"/>
        <rFont val="SimSun"/>
      </rPr>
      <t>退三</t>
    </r>
  </si>
  <si>
    <t>東方七十五度</t>
  </si>
  <si>
    <t>Table 3: Han Solar Table</t>
  </si>
  <si>
    <t>二十四氣</t>
  </si>
  <si>
    <t>日所在</t>
  </si>
  <si>
    <t>黃道去極</t>
  </si>
  <si>
    <t>晷景</t>
  </si>
  <si>
    <t>晝漏刻</t>
  </si>
  <si>
    <t>夜漏刻</t>
  </si>
  <si>
    <r>
      <t>昬中星</t>
    </r>
    <r>
      <rPr>
        <b/>
        <sz val="7"/>
        <color indexed="17"/>
        <rFont val="Times New Roman"/>
        <family val="1"/>
        <charset val="134"/>
      </rPr>
      <t>[</t>
    </r>
    <r>
      <rPr>
        <b/>
        <sz val="7"/>
        <color indexed="17"/>
        <rFont val="SimSun"/>
      </rPr>
      <t>一</t>
    </r>
    <r>
      <rPr>
        <b/>
        <sz val="7"/>
        <color indexed="17"/>
        <rFont val="Times New Roman"/>
        <family val="1"/>
        <charset val="134"/>
      </rPr>
      <t>]</t>
    </r>
    <r>
      <rPr>
        <b/>
        <sz val="7"/>
        <color indexed="17"/>
        <rFont val="SimSun"/>
      </rPr>
      <t>月令章句曰：「中星當中而不中，日行遟也。未當中而中，日行疾也。」</t>
    </r>
  </si>
  <si>
    <t>旦中星</t>
  </si>
  <si>
    <t>百一十五度</t>
  </si>
  <si>
    <t>丈三尺</t>
  </si>
  <si>
    <t>四十五</t>
  </si>
  <si>
    <t>五十五</t>
  </si>
  <si>
    <r>
      <t>奎六</t>
    </r>
    <r>
      <rPr>
        <sz val="7"/>
        <color indexed="8"/>
        <rFont val="SimSun"/>
      </rPr>
      <t>弱</t>
    </r>
  </si>
  <si>
    <r>
      <t>亢二</t>
    </r>
    <r>
      <rPr>
        <sz val="7"/>
        <color indexed="8"/>
        <rFont val="SimSun"/>
      </rPr>
      <t>少強退一</t>
    </r>
  </si>
  <si>
    <r>
      <t>百一十三</t>
    </r>
    <r>
      <rPr>
        <sz val="7"/>
        <color indexed="8"/>
        <rFont val="SimSun"/>
      </rPr>
      <t>強</t>
    </r>
  </si>
  <si>
    <t>丈二尺三寸</t>
  </si>
  <si>
    <r>
      <t>四十五</t>
    </r>
    <r>
      <rPr>
        <sz val="7"/>
        <color indexed="8"/>
        <rFont val="SimSun"/>
      </rPr>
      <t>八分</t>
    </r>
  </si>
  <si>
    <r>
      <t>五十四</t>
    </r>
    <r>
      <rPr>
        <sz val="7"/>
        <color indexed="8"/>
        <rFont val="SimSun"/>
      </rPr>
      <t>二分</t>
    </r>
  </si>
  <si>
    <r>
      <t>婁六</t>
    </r>
    <r>
      <rPr>
        <sz val="7"/>
        <color indexed="8"/>
        <rFont val="SimSun"/>
      </rPr>
      <t>半強退一</t>
    </r>
  </si>
  <si>
    <r>
      <t>氐七</t>
    </r>
    <r>
      <rPr>
        <sz val="7"/>
        <color indexed="8"/>
        <rFont val="SimSun"/>
      </rPr>
      <t>少弱退二</t>
    </r>
  </si>
  <si>
    <r>
      <t>虛五度</t>
    </r>
    <r>
      <rPr>
        <sz val="7"/>
        <color indexed="8"/>
        <rFont val="SimSun"/>
      </rPr>
      <t>十四分進二</t>
    </r>
  </si>
  <si>
    <t>丈一尺</t>
  </si>
  <si>
    <r>
      <t>四十六</t>
    </r>
    <r>
      <rPr>
        <sz val="7"/>
        <color indexed="8"/>
        <rFont val="SimSun"/>
      </rPr>
      <t>八分</t>
    </r>
  </si>
  <si>
    <r>
      <t>五十三</t>
    </r>
    <r>
      <rPr>
        <sz val="7"/>
        <color indexed="8"/>
        <rFont val="SimSun"/>
      </rPr>
      <t>八分</t>
    </r>
  </si>
  <si>
    <r>
      <t>胃十一</t>
    </r>
    <r>
      <rPr>
        <sz val="7"/>
        <color indexed="8"/>
        <rFont val="SimSun"/>
      </rPr>
      <t>半強退一</t>
    </r>
  </si>
  <si>
    <r>
      <t>心</t>
    </r>
    <r>
      <rPr>
        <sz val="7"/>
        <color indexed="8"/>
        <rFont val="SimSun"/>
      </rPr>
      <t>半退三</t>
    </r>
  </si>
  <si>
    <t>九尺六寸</t>
  </si>
  <si>
    <r>
      <t>四十八</t>
    </r>
    <r>
      <rPr>
        <sz val="7"/>
        <color indexed="8"/>
        <rFont val="SimSun"/>
      </rPr>
      <t>六分</t>
    </r>
  </si>
  <si>
    <r>
      <t>五十一</t>
    </r>
    <r>
      <rPr>
        <sz val="7"/>
        <color indexed="8"/>
        <rFont val="SimSun"/>
      </rPr>
      <t>四分</t>
    </r>
  </si>
  <si>
    <r>
      <t>尾七</t>
    </r>
    <r>
      <rPr>
        <sz val="7"/>
        <color indexed="8"/>
        <rFont val="SimSun"/>
      </rPr>
      <t>半弱退三</t>
    </r>
  </si>
  <si>
    <r>
      <t>百一</t>
    </r>
    <r>
      <rPr>
        <sz val="7"/>
        <color indexed="8"/>
        <rFont val="SimSun"/>
      </rPr>
      <t>強</t>
    </r>
  </si>
  <si>
    <r>
      <t>七尺九寸</t>
    </r>
    <r>
      <rPr>
        <sz val="7"/>
        <color indexed="8"/>
        <rFont val="SimSun"/>
      </rPr>
      <t>五分</t>
    </r>
  </si>
  <si>
    <r>
      <t>五十</t>
    </r>
    <r>
      <rPr>
        <sz val="7"/>
        <color indexed="8"/>
        <rFont val="SimSun"/>
      </rPr>
      <t>八分</t>
    </r>
  </si>
  <si>
    <r>
      <t>四十九</t>
    </r>
    <r>
      <rPr>
        <sz val="7"/>
        <color indexed="8"/>
        <rFont val="SimSun"/>
      </rPr>
      <t>二分</t>
    </r>
  </si>
  <si>
    <r>
      <t>參六</t>
    </r>
    <r>
      <rPr>
        <sz val="7"/>
        <color indexed="8"/>
        <rFont val="SimSun"/>
      </rPr>
      <t>半弱退四</t>
    </r>
  </si>
  <si>
    <r>
      <t>壁八度</t>
    </r>
    <r>
      <rPr>
        <sz val="7"/>
        <color indexed="8"/>
        <rFont val="SimSun"/>
      </rPr>
      <t>三分進一</t>
    </r>
  </si>
  <si>
    <r>
      <t>九十五</t>
    </r>
    <r>
      <rPr>
        <sz val="7"/>
        <color indexed="8"/>
        <rFont val="SimSun"/>
      </rPr>
      <t>強</t>
    </r>
  </si>
  <si>
    <t>六尺五寸</t>
  </si>
  <si>
    <r>
      <t>五十三</t>
    </r>
    <r>
      <rPr>
        <sz val="7"/>
        <color indexed="8"/>
        <rFont val="SimSun"/>
      </rPr>
      <t>三分</t>
    </r>
  </si>
  <si>
    <r>
      <t>四十六</t>
    </r>
    <r>
      <rPr>
        <sz val="7"/>
        <color indexed="8"/>
        <rFont val="SimSun"/>
      </rPr>
      <t>七分</t>
    </r>
  </si>
  <si>
    <r>
      <t>井十七</t>
    </r>
    <r>
      <rPr>
        <sz val="7"/>
        <color indexed="8"/>
        <rFont val="SimSun"/>
      </rPr>
      <t>少弱退三</t>
    </r>
  </si>
  <si>
    <r>
      <t>斗</t>
    </r>
    <r>
      <rPr>
        <sz val="7"/>
        <color indexed="8"/>
        <rFont val="SimSun"/>
      </rPr>
      <t>少退二</t>
    </r>
  </si>
  <si>
    <r>
      <t>奎十四度</t>
    </r>
    <r>
      <rPr>
        <sz val="7"/>
        <color indexed="8"/>
        <rFont val="SimSun"/>
      </rPr>
      <t>十分</t>
    </r>
  </si>
  <si>
    <r>
      <t>五尺二寸</t>
    </r>
    <r>
      <rPr>
        <sz val="7"/>
        <color indexed="8"/>
        <rFont val="SimSun"/>
      </rPr>
      <t>五分</t>
    </r>
  </si>
  <si>
    <r>
      <t>五十五</t>
    </r>
    <r>
      <rPr>
        <sz val="7"/>
        <color indexed="8"/>
        <rFont val="SimSun"/>
      </rPr>
      <t>八分</t>
    </r>
  </si>
  <si>
    <r>
      <t>四十四</t>
    </r>
    <r>
      <rPr>
        <sz val="7"/>
        <color indexed="8"/>
        <rFont val="SimSun"/>
      </rPr>
      <t>二分</t>
    </r>
  </si>
  <si>
    <r>
      <t>八十三</t>
    </r>
    <r>
      <rPr>
        <sz val="7"/>
        <color indexed="8"/>
        <rFont val="SimSun"/>
      </rPr>
      <t>少弱</t>
    </r>
  </si>
  <si>
    <r>
      <t>四尺一寸</t>
    </r>
    <r>
      <rPr>
        <sz val="7"/>
        <color indexed="8"/>
        <rFont val="SimSun"/>
      </rPr>
      <t>五分</t>
    </r>
  </si>
  <si>
    <r>
      <t>五十八</t>
    </r>
    <r>
      <rPr>
        <sz val="7"/>
        <color indexed="8"/>
        <rFont val="SimSun"/>
      </rPr>
      <t>三分</t>
    </r>
  </si>
  <si>
    <r>
      <t>四十一</t>
    </r>
    <r>
      <rPr>
        <sz val="7"/>
        <color indexed="8"/>
        <rFont val="SimSun"/>
      </rPr>
      <t>七分</t>
    </r>
  </si>
  <si>
    <r>
      <t>斗二十一</t>
    </r>
    <r>
      <rPr>
        <sz val="7"/>
        <color indexed="8"/>
        <rFont val="SimSun"/>
      </rPr>
      <t>半退二</t>
    </r>
  </si>
  <si>
    <r>
      <t>昴二度</t>
    </r>
    <r>
      <rPr>
        <sz val="7"/>
        <color indexed="8"/>
        <rFont val="SimSun"/>
      </rPr>
      <t>二十四分退二</t>
    </r>
  </si>
  <si>
    <r>
      <t>七十七</t>
    </r>
    <r>
      <rPr>
        <sz val="7"/>
        <color indexed="8"/>
        <rFont val="SimSun"/>
      </rPr>
      <t>大強</t>
    </r>
  </si>
  <si>
    <t>三尺二寸</t>
  </si>
  <si>
    <r>
      <t>六十</t>
    </r>
    <r>
      <rPr>
        <sz val="7"/>
        <color indexed="8"/>
        <rFont val="SimSun"/>
      </rPr>
      <t>五分</t>
    </r>
  </si>
  <si>
    <r>
      <t>三十九</t>
    </r>
    <r>
      <rPr>
        <sz val="7"/>
        <color indexed="8"/>
        <rFont val="SimSun"/>
      </rPr>
      <t>五分</t>
    </r>
  </si>
  <si>
    <r>
      <t>牛六</t>
    </r>
    <r>
      <rPr>
        <sz val="7"/>
        <color indexed="8"/>
        <rFont val="SimSun"/>
      </rPr>
      <t>半</t>
    </r>
  </si>
  <si>
    <r>
      <t>七十三</t>
    </r>
    <r>
      <rPr>
        <sz val="7"/>
        <color indexed="8"/>
        <rFont val="SimSun"/>
      </rPr>
      <t>少弱</t>
    </r>
  </si>
  <si>
    <r>
      <t>二尺五寸</t>
    </r>
    <r>
      <rPr>
        <sz val="7"/>
        <color indexed="8"/>
        <rFont val="SimSun"/>
      </rPr>
      <t>二分</t>
    </r>
  </si>
  <si>
    <r>
      <t>六十二</t>
    </r>
    <r>
      <rPr>
        <sz val="7"/>
        <color indexed="8"/>
        <rFont val="SimSun"/>
      </rPr>
      <t>四分</t>
    </r>
  </si>
  <si>
    <r>
      <t>三十七</t>
    </r>
    <r>
      <rPr>
        <sz val="7"/>
        <color indexed="8"/>
        <rFont val="SimSun"/>
      </rPr>
      <t>六分</t>
    </r>
  </si>
  <si>
    <r>
      <t>翼十七</t>
    </r>
    <r>
      <rPr>
        <sz val="7"/>
        <color indexed="8"/>
        <rFont val="SimSun"/>
      </rPr>
      <t>大進二</t>
    </r>
  </si>
  <si>
    <r>
      <t>參四度</t>
    </r>
    <r>
      <rPr>
        <sz val="7"/>
        <color indexed="8"/>
        <rFont val="SimSun"/>
      </rPr>
      <t>六分退四</t>
    </r>
  </si>
  <si>
    <r>
      <t>六十九</t>
    </r>
    <r>
      <rPr>
        <sz val="7"/>
        <color indexed="8"/>
        <rFont val="SimSun"/>
      </rPr>
      <t>大弱</t>
    </r>
  </si>
  <si>
    <r>
      <t>尺九寸</t>
    </r>
    <r>
      <rPr>
        <sz val="7"/>
        <color indexed="8"/>
        <rFont val="SimSun"/>
      </rPr>
      <t>八分</t>
    </r>
  </si>
  <si>
    <r>
      <t>六十三</t>
    </r>
    <r>
      <rPr>
        <sz val="7"/>
        <color indexed="8"/>
        <rFont val="SimSun"/>
      </rPr>
      <t>九分</t>
    </r>
  </si>
  <si>
    <r>
      <t>三十六</t>
    </r>
    <r>
      <rPr>
        <sz val="7"/>
        <color indexed="8"/>
        <rFont val="SimSun"/>
      </rPr>
      <t>一分</t>
    </r>
  </si>
  <si>
    <r>
      <t>危</t>
    </r>
    <r>
      <rPr>
        <sz val="7"/>
        <color indexed="8"/>
        <rFont val="SimSun"/>
      </rPr>
      <t>大弱進二</t>
    </r>
  </si>
  <si>
    <r>
      <t>井十度</t>
    </r>
    <r>
      <rPr>
        <sz val="7"/>
        <color indexed="8"/>
        <rFont val="SimSun"/>
      </rPr>
      <t>十三分退三</t>
    </r>
  </si>
  <si>
    <r>
      <t>六十七</t>
    </r>
    <r>
      <rPr>
        <sz val="7"/>
        <color indexed="8"/>
        <rFont val="SimSun"/>
      </rPr>
      <t>少弱</t>
    </r>
  </si>
  <si>
    <r>
      <t>尺六寸</t>
    </r>
    <r>
      <rPr>
        <sz val="7"/>
        <color indexed="8"/>
        <rFont val="SimSun"/>
      </rPr>
      <t>八分</t>
    </r>
  </si>
  <si>
    <r>
      <t>六十四</t>
    </r>
    <r>
      <rPr>
        <sz val="7"/>
        <color indexed="8"/>
        <rFont val="SimSun"/>
      </rPr>
      <t>九分</t>
    </r>
  </si>
  <si>
    <r>
      <t>三十五</t>
    </r>
    <r>
      <rPr>
        <sz val="7"/>
        <color indexed="8"/>
        <rFont val="SimSun"/>
      </rPr>
      <t>一分</t>
    </r>
  </si>
  <si>
    <r>
      <t>亢五</t>
    </r>
    <r>
      <rPr>
        <sz val="7"/>
        <color indexed="8"/>
        <rFont val="SimSun"/>
      </rPr>
      <t>大退一</t>
    </r>
  </si>
  <si>
    <r>
      <t>危十四</t>
    </r>
    <r>
      <rPr>
        <sz val="7"/>
        <color indexed="8"/>
        <rFont val="SimSun"/>
      </rPr>
      <t>強進二</t>
    </r>
  </si>
  <si>
    <r>
      <t>井二十五度</t>
    </r>
    <r>
      <rPr>
        <sz val="7"/>
        <color indexed="8"/>
        <rFont val="SimSun"/>
      </rPr>
      <t>二十分退三</t>
    </r>
  </si>
  <si>
    <r>
      <t>六十七</t>
    </r>
    <r>
      <rPr>
        <sz val="7"/>
        <color indexed="8"/>
        <rFont val="SimSun"/>
      </rPr>
      <t>強</t>
    </r>
  </si>
  <si>
    <t>尺五寸</t>
  </si>
  <si>
    <t>六十五</t>
  </si>
  <si>
    <t>三十五</t>
  </si>
  <si>
    <r>
      <t>氐十二</t>
    </r>
    <r>
      <rPr>
        <sz val="7"/>
        <color indexed="8"/>
        <rFont val="SimSun"/>
      </rPr>
      <t>少弱退二</t>
    </r>
  </si>
  <si>
    <r>
      <t>柳三度</t>
    </r>
    <r>
      <rPr>
        <sz val="7"/>
        <color indexed="8"/>
        <rFont val="SimSun"/>
      </rPr>
      <t>二十七分</t>
    </r>
  </si>
  <si>
    <r>
      <t>六十七</t>
    </r>
    <r>
      <rPr>
        <sz val="7"/>
        <color indexed="8"/>
        <rFont val="SimSun"/>
      </rPr>
      <t>大強</t>
    </r>
  </si>
  <si>
    <t>尺七寸</t>
  </si>
  <si>
    <r>
      <t>六十四</t>
    </r>
    <r>
      <rPr>
        <sz val="7"/>
        <color indexed="8"/>
        <rFont val="SimSun"/>
      </rPr>
      <t>七分</t>
    </r>
  </si>
  <si>
    <r>
      <t>三十五</t>
    </r>
    <r>
      <rPr>
        <sz val="7"/>
        <color indexed="8"/>
        <rFont val="SimSun"/>
      </rPr>
      <t>三分</t>
    </r>
  </si>
  <si>
    <r>
      <t>尾一</t>
    </r>
    <r>
      <rPr>
        <sz val="7"/>
        <color indexed="8"/>
        <rFont val="SimSun"/>
      </rPr>
      <t>大強退三</t>
    </r>
  </si>
  <si>
    <r>
      <t>奎二</t>
    </r>
    <r>
      <rPr>
        <sz val="7"/>
        <color indexed="8"/>
        <rFont val="SimSun"/>
      </rPr>
      <t>大強</t>
    </r>
  </si>
  <si>
    <t>七十</t>
  </si>
  <si>
    <t>二尺</t>
  </si>
  <si>
    <r>
      <t>六十三</t>
    </r>
    <r>
      <rPr>
        <sz val="7"/>
        <color indexed="8"/>
        <rFont val="SimSun"/>
      </rPr>
      <t>八分</t>
    </r>
  </si>
  <si>
    <r>
      <t>三十六</t>
    </r>
    <r>
      <rPr>
        <sz val="7"/>
        <color indexed="8"/>
        <rFont val="SimSun"/>
      </rPr>
      <t>二分</t>
    </r>
  </si>
  <si>
    <r>
      <t>尾十五</t>
    </r>
    <r>
      <rPr>
        <sz val="7"/>
        <color indexed="8"/>
        <rFont val="SimSun"/>
      </rPr>
      <t>半弱退三</t>
    </r>
  </si>
  <si>
    <r>
      <t>婁三</t>
    </r>
    <r>
      <rPr>
        <sz val="7"/>
        <color indexed="8"/>
        <rFont val="SimSun"/>
      </rPr>
      <t>大退一</t>
    </r>
  </si>
  <si>
    <r>
      <t>張十二度</t>
    </r>
    <r>
      <rPr>
        <sz val="7"/>
        <color indexed="8"/>
        <rFont val="SimSun"/>
      </rPr>
      <t>九分進一</t>
    </r>
  </si>
  <si>
    <r>
      <t>七十三</t>
    </r>
    <r>
      <rPr>
        <sz val="7"/>
        <color indexed="8"/>
        <rFont val="SimSun"/>
      </rPr>
      <t>半強</t>
    </r>
  </si>
  <si>
    <r>
      <t>二尺五寸</t>
    </r>
    <r>
      <rPr>
        <sz val="7"/>
        <color indexed="8"/>
        <rFont val="SimSun"/>
      </rPr>
      <t>五分</t>
    </r>
  </si>
  <si>
    <r>
      <t>六十二</t>
    </r>
    <r>
      <rPr>
        <sz val="7"/>
        <color indexed="8"/>
        <rFont val="SimSun"/>
      </rPr>
      <t>三分</t>
    </r>
  </si>
  <si>
    <r>
      <t>三十七</t>
    </r>
    <r>
      <rPr>
        <sz val="7"/>
        <color indexed="8"/>
        <rFont val="SimSun"/>
      </rPr>
      <t>七分</t>
    </r>
  </si>
  <si>
    <r>
      <t>箕九</t>
    </r>
    <r>
      <rPr>
        <sz val="7"/>
        <color indexed="8"/>
        <rFont val="SimSun"/>
      </rPr>
      <t>大強退三</t>
    </r>
  </si>
  <si>
    <r>
      <t>七十八</t>
    </r>
    <r>
      <rPr>
        <sz val="7"/>
        <color indexed="8"/>
        <rFont val="SimSun"/>
      </rPr>
      <t>半強</t>
    </r>
  </si>
  <si>
    <r>
      <t>三尺三寸</t>
    </r>
    <r>
      <rPr>
        <sz val="7"/>
        <color indexed="8"/>
        <rFont val="SimSun"/>
      </rPr>
      <t>三分</t>
    </r>
  </si>
  <si>
    <r>
      <t>六十</t>
    </r>
    <r>
      <rPr>
        <sz val="7"/>
        <color indexed="8"/>
        <rFont val="SimSun"/>
      </rPr>
      <t>二分</t>
    </r>
  </si>
  <si>
    <r>
      <t>三十九</t>
    </r>
    <r>
      <rPr>
        <sz val="7"/>
        <color indexed="8"/>
        <rFont val="SimSun"/>
      </rPr>
      <t>八分</t>
    </r>
  </si>
  <si>
    <r>
      <t>畢三</t>
    </r>
    <r>
      <rPr>
        <sz val="7"/>
        <color indexed="8"/>
        <rFont val="SimSun"/>
      </rPr>
      <t>大退三</t>
    </r>
  </si>
  <si>
    <r>
      <t>八十四</t>
    </r>
    <r>
      <rPr>
        <sz val="7"/>
        <color indexed="8"/>
        <rFont val="SimSun"/>
      </rPr>
      <t>少強</t>
    </r>
  </si>
  <si>
    <r>
      <t>四尺三寸</t>
    </r>
    <r>
      <rPr>
        <sz val="7"/>
        <color indexed="8"/>
        <rFont val="SimSun"/>
      </rPr>
      <t>五分</t>
    </r>
  </si>
  <si>
    <r>
      <t>五十七</t>
    </r>
    <r>
      <rPr>
        <sz val="7"/>
        <color indexed="8"/>
        <rFont val="SimSun"/>
      </rPr>
      <t>八分</t>
    </r>
  </si>
  <si>
    <r>
      <t>四十二</t>
    </r>
    <r>
      <rPr>
        <sz val="7"/>
        <color indexed="8"/>
        <rFont val="SimSun"/>
      </rPr>
      <t>二分</t>
    </r>
  </si>
  <si>
    <r>
      <t>參五</t>
    </r>
    <r>
      <rPr>
        <sz val="7"/>
        <color indexed="8"/>
        <rFont val="SimSun"/>
      </rPr>
      <t>半弱退四</t>
    </r>
  </si>
  <si>
    <r>
      <t>角四度</t>
    </r>
    <r>
      <rPr>
        <sz val="7"/>
        <color indexed="8"/>
        <rFont val="SimSun"/>
      </rPr>
      <t>三十分</t>
    </r>
  </si>
  <si>
    <r>
      <t>九十</t>
    </r>
    <r>
      <rPr>
        <sz val="7"/>
        <color indexed="8"/>
        <rFont val="SimSun"/>
      </rPr>
      <t>半強</t>
    </r>
  </si>
  <si>
    <t>五尺五寸</t>
  </si>
  <si>
    <r>
      <t>五十五</t>
    </r>
    <r>
      <rPr>
        <sz val="7"/>
        <color indexed="8"/>
        <rFont val="SimSun"/>
      </rPr>
      <t>二分</t>
    </r>
  </si>
  <si>
    <r>
      <t>四十四</t>
    </r>
    <r>
      <rPr>
        <sz val="7"/>
        <color indexed="8"/>
        <rFont val="SimSun"/>
      </rPr>
      <t>八分</t>
    </r>
  </si>
  <si>
    <r>
      <t>牛五</t>
    </r>
    <r>
      <rPr>
        <sz val="7"/>
        <color indexed="8"/>
        <rFont val="SimSun"/>
      </rPr>
      <t>少</t>
    </r>
  </si>
  <si>
    <r>
      <t>井十六</t>
    </r>
    <r>
      <rPr>
        <sz val="7"/>
        <color indexed="8"/>
        <rFont val="SimSun"/>
      </rPr>
      <t>少強退三</t>
    </r>
  </si>
  <si>
    <r>
      <t>六尺八寸</t>
    </r>
    <r>
      <rPr>
        <sz val="7"/>
        <color indexed="8"/>
        <rFont val="SimSun"/>
      </rPr>
      <t>五分</t>
    </r>
  </si>
  <si>
    <r>
      <t>五十二</t>
    </r>
    <r>
      <rPr>
        <sz val="7"/>
        <color indexed="8"/>
        <rFont val="SimSun"/>
      </rPr>
      <t>六分</t>
    </r>
  </si>
  <si>
    <r>
      <t>四十七</t>
    </r>
    <r>
      <rPr>
        <sz val="7"/>
        <color indexed="8"/>
        <rFont val="SimSun"/>
      </rPr>
      <t>四分</t>
    </r>
  </si>
  <si>
    <r>
      <t>女七</t>
    </r>
    <r>
      <rPr>
        <sz val="7"/>
        <color indexed="8"/>
        <rFont val="SimSun"/>
      </rPr>
      <t>大進一</t>
    </r>
  </si>
  <si>
    <r>
      <t>鬼三</t>
    </r>
    <r>
      <rPr>
        <sz val="7"/>
        <color indexed="8"/>
        <rFont val="SimSun"/>
      </rPr>
      <t>少強</t>
    </r>
  </si>
  <si>
    <r>
      <t>百二</t>
    </r>
    <r>
      <rPr>
        <sz val="7"/>
        <color indexed="8"/>
        <rFont val="SimSun"/>
      </rPr>
      <t>少強</t>
    </r>
  </si>
  <si>
    <t>八尺四寸</t>
  </si>
  <si>
    <r>
      <t>五十</t>
    </r>
    <r>
      <rPr>
        <sz val="7"/>
        <color indexed="8"/>
        <rFont val="SimSun"/>
      </rPr>
      <t>三分</t>
    </r>
  </si>
  <si>
    <r>
      <t>四十九</t>
    </r>
    <r>
      <rPr>
        <sz val="7"/>
        <color indexed="8"/>
        <rFont val="SimSun"/>
      </rPr>
      <t>七分</t>
    </r>
  </si>
  <si>
    <r>
      <t>星三</t>
    </r>
    <r>
      <rPr>
        <sz val="7"/>
        <color indexed="8"/>
        <rFont val="SimSun"/>
      </rPr>
      <t>大強進一</t>
    </r>
  </si>
  <si>
    <r>
      <t>百七</t>
    </r>
    <r>
      <rPr>
        <sz val="7"/>
        <color indexed="8"/>
        <rFont val="SimSun"/>
      </rPr>
      <t>少強</t>
    </r>
  </si>
  <si>
    <r>
      <t>丈</t>
    </r>
    <r>
      <rPr>
        <sz val="7"/>
        <color indexed="10"/>
        <rFont val="SimSun"/>
      </rPr>
      <t>丈「丈」下原有「四寸二分」四字。集解引李銳說，謂案祖沖之術二至晷景與此同。其至前後各氣晷景，以此至前後晷景兩兩相加，折半得之。如此術大雪景丈二尺五寸六分，小寒景二尺三寸，相加半之，得沖之術大雪、小寒景一丈二尺四寸三分是也。覆檢此文，惟立冬一氣不合。案祖沖之稱四分志立冬中景長一丈，立春中景九尺六寸，相加半之，得九尺八寸，與沖之術立春、立冬景正合。然則此文立冬晷景丈四寸二分，誤衍「四寸二分」四字耳。今逕據刪。</t>
    </r>
  </si>
  <si>
    <r>
      <t>四十八</t>
    </r>
    <r>
      <rPr>
        <sz val="7"/>
        <color indexed="8"/>
        <rFont val="SimSun"/>
      </rPr>
      <t>二分</t>
    </r>
  </si>
  <si>
    <r>
      <t>五十一</t>
    </r>
    <r>
      <rPr>
        <sz val="7"/>
        <color indexed="8"/>
        <rFont val="SimSun"/>
      </rPr>
      <t>八分</t>
    </r>
  </si>
  <si>
    <r>
      <t>危八</t>
    </r>
    <r>
      <rPr>
        <sz val="7"/>
        <color indexed="8"/>
        <rFont val="SimSun"/>
      </rPr>
      <t>強進二</t>
    </r>
  </si>
  <si>
    <r>
      <t>箕一度</t>
    </r>
    <r>
      <rPr>
        <sz val="7"/>
        <color indexed="8"/>
        <rFont val="SimSun"/>
      </rPr>
      <t>二十六分退三</t>
    </r>
  </si>
  <si>
    <r>
      <t>百一十一</t>
    </r>
    <r>
      <rPr>
        <sz val="7"/>
        <color indexed="8"/>
        <rFont val="SimSun"/>
      </rPr>
      <t>弱</t>
    </r>
  </si>
  <si>
    <t>丈一尺四寸</t>
  </si>
  <si>
    <r>
      <t>翼十五</t>
    </r>
    <r>
      <rPr>
        <sz val="7"/>
        <color indexed="8"/>
        <rFont val="SimSun"/>
      </rPr>
      <t>大強進二</t>
    </r>
  </si>
  <si>
    <r>
      <t>百一十三</t>
    </r>
    <r>
      <rPr>
        <sz val="7"/>
        <color indexed="8"/>
        <rFont val="SimSun"/>
      </rPr>
      <t>大強</t>
    </r>
  </si>
  <si>
    <r>
      <t>丈二尺五寸</t>
    </r>
    <r>
      <rPr>
        <sz val="7"/>
        <color indexed="8"/>
        <rFont val="SimSun"/>
      </rPr>
      <t>六分</t>
    </r>
    <r>
      <rPr>
        <sz val="7"/>
        <color indexed="17"/>
        <rFont val="Times New Roman"/>
        <family val="1"/>
        <charset val="134"/>
      </rPr>
      <t>[</t>
    </r>
    <r>
      <rPr>
        <sz val="7"/>
        <color indexed="17"/>
        <rFont val="SimSun"/>
      </rPr>
      <t>四</t>
    </r>
    <r>
      <rPr>
        <sz val="7"/>
        <color indexed="17"/>
        <rFont val="Times New Roman"/>
        <family val="1"/>
        <charset val="134"/>
      </rPr>
      <t>]</t>
    </r>
    <r>
      <rPr>
        <sz val="7"/>
        <color indexed="17"/>
        <rFont val="SimSun"/>
      </rPr>
      <t>易緯所稱晷景長短，不與相應，今列之于後，并至與不至各有所候，以參廣異同。冬至，晷長一丈三尺。當至不至，則旱，多溫病。未當至而至，則多病暴逆心痛，應在夏至。小寒，晷長一丈二尺四分。當至不至，先小旱，後小水，丈夫多病喉痺。未當至而至，多病身熱，來年麻不為耳。大寒，晷長一丈一尺八分。當至不至，則先大旱，後大水，麥不成，病厥逆。未當至而至，多病上氣、嗌腫。立春，晷長一丈一寸六分。當至不至，兵起，麥不成，民疲瘵。未當至而至，多病熛、疾疫。雨水，晷長九尺一寸六分。當至不至，早麥不成，多病心痛。未當至而至，多病。驚蟄，晷長八尺二寸。當至不至，則霧，稚禾不成，老人多病嚏。未當至而至，多病癕疽、脛腫。春分，晷長七尺二寸四分。當至不至，先旱後水，歲惡，米不成，多病耳痒。清明，晷長六尺二寸八分。當至不至，菽豆不熟，多病嚏、振寒（溫）、〔洞〕泄。</t>
    </r>
    <r>
      <rPr>
        <sz val="7"/>
        <color indexed="10"/>
        <rFont val="SimSun"/>
      </rPr>
      <t>振寒（溫）〔洞〕泄據汲本、殿本改。</t>
    </r>
    <r>
      <rPr>
        <sz val="7"/>
        <color indexed="17"/>
        <rFont val="SimSun"/>
      </rPr>
      <t>未當至而至，多溫病、暴死。穀雨，晷長五尺三寸六分。當至不至，水物雜稻等不為，多病疾瘧、振寒、霍亂。未當至而至，老人多病氣腫。立夏，晷長四尺三寸六分。當至不至，旱，五穀傷，牛畜疾。未當至而至，多病頭痛、腫嗌、喉痺。小滿，晷長三尺四寸。當至不至，凶言，〔國〕有大喪，</t>
    </r>
    <r>
      <rPr>
        <sz val="7"/>
        <color indexed="10"/>
        <rFont val="SimSun"/>
      </rPr>
      <t>〔國〕有大喪據汲本、殿本補。</t>
    </r>
    <r>
      <rPr>
        <sz val="7"/>
        <color indexed="17"/>
        <rFont val="SimSun"/>
      </rPr>
      <t>先水後旱，多病筋急、痺痛。未當至而至，多熛、嗌腫。芒種，晷長二尺四寸四分。當至不至，凶言，國有狂令。未當至而至，多病厥眩、頭痛。夏至，晷長一尺四寸八分。當至不至，國有大殃，旱，陰陽並傷，草木夏落，有大寒。未當至而至，病眉腫。小暑，晷長二尺四寸四分。當至不至，前小水，後小旱，有兵，多病泄注、腹痛。未當至而至，病臚腫。大暑，晷長三尺四寸。當至不至，外兵作，來年飢，多病筋痺、胷痛。未當至而至，多病脛痛、惡氣。立秋，晷長四尺三寸六分。當至不至，暴風為災，來年黍不為。未當至而至，多病咳上氣、咽腫。處暑，晷長五尺三寸二分。當至不至，國多浮令，兵起，來年麥不為。未當至而至，病脹，耳熱不出行。白靈，晷長六尺二寸八分。當至不至，多病痤、疽、泄。未當至而至，多病水、腹閉疝瘕。秋分，晷長七尺二寸四分。當至不至，草木復榮，多病溫，悲心痛。未當至而至，多病胷鬲痛。寒露，晷長八尺二寸。當至不至，來年穀不成，六畜鳥獸被殃，多病疝瘕、痛。未當至而至，多病疢熱中。霜降，晷長九尺一寸六分。當至不至，萬物大耗，年多大風，人病痛。未當至而至，多病胷脇支滿。立冬，晷長丈一寸二分。當至不至，地氣不藏，來年立夏反寒，早旱，晚水，萬物不成。未當至而至，多病臂掌痛。小雪，晷長一丈一尺八分。當至不至，來年蠶麥不成，多病脚腕痛。未當至而至，亦為多肘腋痛。大雪，晷長一丈二尺四分。當至不至，溫氣泄，夏蝗蟲生，大水，多病少氣、五疸、</t>
    </r>
    <r>
      <rPr>
        <sz val="7"/>
        <color indexed="10"/>
        <rFont val="SimSun"/>
      </rPr>
      <t>五疸「疸」原譌「疽」，逕據殿本、集解本改正。</t>
    </r>
    <r>
      <rPr>
        <sz val="7"/>
        <color indexed="17"/>
        <rFont val="SimSun"/>
      </rPr>
      <t>水腫。未當至而至，多病癕疽痛，應在芒種。月令章句曰：「周天三百六十五度四分度之一，分為十二次，日月之所躔也。地有十二分，王侯之所國也。每次三十（二）度三十（三）〔二〕分之十四，</t>
    </r>
    <r>
      <rPr>
        <sz val="7"/>
        <color indexed="10"/>
        <rFont val="SimSun"/>
      </rPr>
      <t>每次三十（二）度三十（三）〔二〕分之十四據集解引錢大昕說刪改。</t>
    </r>
    <r>
      <rPr>
        <sz val="7"/>
        <color indexed="17"/>
        <rFont val="SimSun"/>
      </rPr>
      <t>日至其初為節，至其中為中氣。自危十度至壁（八）〔九〕度</t>
    </r>
    <r>
      <rPr>
        <sz val="7"/>
        <color indexed="10"/>
        <rFont val="SimSun"/>
      </rPr>
      <t>自危十度至壁（八）〔九〕度據集解引錢大昕說改。下「自壁八度至胃一度」同。</t>
    </r>
    <r>
      <rPr>
        <sz val="7"/>
        <color indexed="17"/>
        <rFont val="SimSun"/>
      </rPr>
      <t>謂之豕韋之次，立春、驚蟄居之，</t>
    </r>
    <r>
      <rPr>
        <sz val="7"/>
        <color indexed="10"/>
        <rFont val="SimSun"/>
      </rPr>
      <t>立春驚蟄居之按：殿本「驚蟄」作「雨水」，下「雨水」作「驚蟄」。集解引錢大昕說，謂此以驚蟄為正月中氣，雨水為二月節，依古法也。四分術以雨水為正月中氣。</t>
    </r>
    <r>
      <rPr>
        <sz val="7"/>
        <color indexed="17"/>
        <rFont val="SimSun"/>
      </rPr>
      <t>衛之分野。自壁（八）〔九〕度至胃一度，謂之降婁之次，雨水、春分居之，魯之分野。自胃一度至畢六度，謂之大梁之次，清明、穀雨居之，</t>
    </r>
    <r>
      <rPr>
        <sz val="7"/>
        <color indexed="10"/>
        <rFont val="SimSun"/>
      </rPr>
      <t>清明穀雨居之集解引盧文弨說，謂清明穀雨當互易。今按：證以月令問答，惟驚蟄、雨水用三統，餘皆用四分，易之非是。</t>
    </r>
    <r>
      <rPr>
        <sz val="7"/>
        <color indexed="17"/>
        <rFont val="SimSun"/>
      </rPr>
      <t>趙之分野。自畢六度至井十度，謂之實沈之次，立夏、小滿居之，晉之分野。自井十度至柳三度，謂之鶉首之次，芒種、夏至居之，秦之分野。自柳三度至張十二度，謂之鶉火之次，小暑、大暑居之，周之分野。自張十二度至軫六度，謂之鶉尾之次，立秋、處暑居之，楚之分野。自軫六度至亢八度，謂之壽星之次，白露、秋分居之，鄭之分野。自亢八度至尾四度，謂之大火之次，寒露、霜降居之，宋之分野。自尾四度至斗六度，謂之析木之次，立冬、小雪居之，燕之分野。自斗六度至須女二度，謂之星紀之次，大雪、冬至居之，越之分野。自須女二度至危十度，謂之玄枵之次，小寒、大寒居之，齊之分野。」蔡邕分星次度數與皇甫謐不同，兼明氣節所在，故載焉。謐所列在郡國志。</t>
    </r>
  </si>
  <si>
    <r>
      <t>四十五</t>
    </r>
    <r>
      <rPr>
        <sz val="7"/>
        <color indexed="8"/>
        <rFont val="SimSun"/>
      </rPr>
      <t>五分</t>
    </r>
  </si>
  <si>
    <r>
      <t>五十四</t>
    </r>
    <r>
      <rPr>
        <sz val="7"/>
        <color indexed="8"/>
        <rFont val="SimSun"/>
      </rPr>
      <t>五分</t>
    </r>
  </si>
  <si>
    <r>
      <t>壁</t>
    </r>
    <r>
      <rPr>
        <sz val="7"/>
        <color indexed="8"/>
        <rFont val="SimSun"/>
      </rPr>
      <t>半強進一</t>
    </r>
  </si>
  <si>
    <t>贊曰：象因物生，數本杪曶。律均前起，準調後發。該覈衡琁，檢會日月。</t>
  </si>
  <si>
    <t>Table 1: Lodges</t>
  </si>
  <si>
    <t>Table 2: Han Solar Table</t>
  </si>
  <si>
    <t>Lodge name</t>
  </si>
  <si>
    <t>width</t>
  </si>
  <si>
    <r>
      <t xml:space="preserve">Dipper </t>
    </r>
    <r>
      <rPr>
        <i/>
        <sz val="9"/>
        <color indexed="9"/>
        <rFont val="Times New Roman"/>
        <family val="1"/>
        <charset val="134"/>
      </rPr>
      <t>du</t>
    </r>
  </si>
  <si>
    <t>日行所在度</t>
  </si>
  <si>
    <t>日中晷影</t>
  </si>
  <si>
    <t>昏中星</t>
  </si>
  <si>
    <t>中</t>
  </si>
  <si>
    <t>斗</t>
  </si>
  <si>
    <t>奎</t>
  </si>
  <si>
    <t>亢</t>
  </si>
  <si>
    <t>節</t>
  </si>
  <si>
    <t>女</t>
  </si>
  <si>
    <t>婁</t>
  </si>
  <si>
    <t>氐</t>
  </si>
  <si>
    <t>虛</t>
  </si>
  <si>
    <t>胃</t>
  </si>
  <si>
    <t>心</t>
  </si>
  <si>
    <t>危</t>
  </si>
  <si>
    <t>畢</t>
  </si>
  <si>
    <t>尾</t>
  </si>
  <si>
    <t>室</t>
  </si>
  <si>
    <t>參</t>
  </si>
  <si>
    <t>箕</t>
  </si>
  <si>
    <t>壁</t>
  </si>
  <si>
    <t>井</t>
  </si>
  <si>
    <t>鬼</t>
  </si>
  <si>
    <t>星</t>
  </si>
  <si>
    <t>昴</t>
  </si>
  <si>
    <t>張</t>
  </si>
  <si>
    <t>牛</t>
  </si>
  <si>
    <t>翼</t>
  </si>
  <si>
    <t>角</t>
  </si>
  <si>
    <t>柳</t>
  </si>
  <si>
    <t>軫</t>
  </si>
  <si>
    <t>月餘</t>
  </si>
  <si>
    <t>日餘</t>
  </si>
  <si>
    <t>當漢高皇帝受命四十有五歲，陽在上章，陰在執徐，冬十有一月甲子夜半朔旦冬至，日月閏積之數皆自此始，立元正朔，謂之漢曆。</t>
  </si>
  <si>
    <t>*This is the "lower epoch" or most recent luni-solar zero-point : the coincidence of winter solstice + new moon (month XI) + midnight + day jiazi</t>
  </si>
  <si>
    <t>漢高皇帝受命：</t>
  </si>
  <si>
    <t>High Origin Year:</t>
  </si>
  <si>
    <r>
      <t>元法，四千五百六十。</t>
    </r>
    <r>
      <rPr>
        <sz val="10"/>
        <color indexed="17"/>
        <rFont val="SimSun"/>
      </rPr>
      <t/>
    </r>
  </si>
  <si>
    <t>紀法，千五百二十。</t>
  </si>
  <si>
    <t>蔀法，七十六。</t>
  </si>
  <si>
    <t>章月，二百三十五。</t>
  </si>
  <si>
    <t>沒數，二十一。（為章閏）</t>
  </si>
  <si>
    <t>中法，（四）〔三〕十二。</t>
  </si>
  <si>
    <t>§14</t>
  </si>
  <si>
    <t>High Origin</t>
  </si>
  <si>
    <t>*This is an explanation of the origin of the following numbers. Here, in brief, is what you need to know:</t>
  </si>
  <si>
    <t>A:</t>
  </si>
  <si>
    <t>B:</t>
  </si>
  <si>
    <r>
      <t xml:space="preserve">Because the ratio between them is fixed, the choice of the value for the mean solar year 歲 decides that for the mean lunar month or "lunation" 月, and vice versa. In this case, we start from </t>
    </r>
    <r>
      <rPr>
        <sz val="10"/>
        <color indexed="8"/>
        <rFont val="Times New Roman"/>
        <family val="1"/>
      </rPr>
      <t>an observed value of the year, 365¼ days, expressed in the ratio 1461:4 or 周天:日法, and it is that and the "rule" that give us the length of the mean month and the other numbers on this list.</t>
    </r>
  </si>
  <si>
    <t>mean solar year:</t>
  </si>
  <si>
    <t>mean lunation:</t>
  </si>
  <si>
    <t>(周天:日法)</t>
  </si>
  <si>
    <t>(部日:部月)</t>
  </si>
  <si>
    <t>C:</t>
  </si>
  <si>
    <r>
      <t xml:space="preserve">The word 周 refers to "complete" "circuits" made by the sun, moon, and planets around the sky (from point </t>
    </r>
    <r>
      <rPr>
        <i/>
        <sz val="10"/>
        <color indexed="8"/>
        <rFont val="Times New Roman"/>
        <family val="1"/>
      </rPr>
      <t>a</t>
    </r>
    <r>
      <rPr>
        <sz val="10"/>
        <color indexed="8"/>
        <rFont val="Times New Roman"/>
        <family val="1"/>
      </rPr>
      <t xml:space="preserve"> back to point </t>
    </r>
    <r>
      <rPr>
        <i/>
        <sz val="10"/>
        <color indexed="8"/>
        <rFont val="Times New Roman"/>
        <family val="1"/>
      </rPr>
      <t>a</t>
    </r>
    <r>
      <rPr>
        <sz val="10"/>
        <color indexed="8"/>
        <rFont val="Times New Roman"/>
        <family val="1"/>
      </rPr>
      <t>), thus what we could can also call the "circumference" of a round/spherical sky. This circumference is divided into 度, which is defined as the distance travelled by the mean sun in one day. By definition, then,</t>
    </r>
  </si>
  <si>
    <t>velocity of the sun:</t>
  </si>
  <si>
    <t>circumference of heaven:</t>
  </si>
  <si>
    <t>D:</t>
  </si>
  <si>
    <t>All of the following numbers derive from the "rule" 章 that there are 235 months in 19 years, i.e. the ratio 章月:章法. The word 法 in a mathematical context means "factor" or "divisor". The purpose of the "rule" is intercalation. At 235 m : 19 y, that makes exactly 19×12+7 months, which is to say that there are 7 intercalary months 閏月 in 19 years.</t>
  </si>
  <si>
    <r>
      <t xml:space="preserve">medial </t>
    </r>
    <r>
      <rPr>
        <i/>
        <sz val="10"/>
        <color indexed="8"/>
        <rFont val="Times New Roman"/>
        <family val="1"/>
      </rPr>
      <t>qi</t>
    </r>
    <r>
      <rPr>
        <sz val="10"/>
        <color indexed="8"/>
        <rFont val="Times New Roman"/>
        <family val="1"/>
      </rPr>
      <t>:</t>
    </r>
  </si>
  <si>
    <r>
      <t xml:space="preserve">The solar year is divided into twenty-four </t>
    </r>
    <r>
      <rPr>
        <i/>
        <sz val="10"/>
        <color indexed="8"/>
        <rFont val="Times New Roman"/>
        <family val="1"/>
      </rPr>
      <t>qi</t>
    </r>
    <r>
      <rPr>
        <sz val="10"/>
        <color indexed="8"/>
        <rFont val="Times New Roman"/>
        <family val="1"/>
        <charset val="134"/>
      </rPr>
      <t xml:space="preserve">, which alternate 節·中·節·中…, for a total of twelve "nodal </t>
    </r>
    <r>
      <rPr>
        <i/>
        <sz val="10"/>
        <color indexed="8"/>
        <rFont val="Times New Roman"/>
        <family val="1"/>
      </rPr>
      <t>qi</t>
    </r>
    <r>
      <rPr>
        <sz val="10"/>
        <color indexed="8"/>
        <rFont val="Times New Roman"/>
        <family val="1"/>
        <charset val="134"/>
      </rPr>
      <t xml:space="preserve">" and twelve "medial </t>
    </r>
    <r>
      <rPr>
        <i/>
        <sz val="10"/>
        <color indexed="8"/>
        <rFont val="Times New Roman"/>
        <family val="1"/>
      </rPr>
      <t>qi</t>
    </r>
    <r>
      <rPr>
        <sz val="10"/>
        <color indexed="8"/>
        <rFont val="Times New Roman"/>
        <family val="1"/>
        <charset val="134"/>
      </rPr>
      <t xml:space="preserve">". The "medial </t>
    </r>
    <r>
      <rPr>
        <i/>
        <sz val="10"/>
        <color indexed="8"/>
        <rFont val="Times New Roman"/>
        <family val="1"/>
      </rPr>
      <t>qi</t>
    </r>
    <r>
      <rPr>
        <sz val="10"/>
        <color indexed="8"/>
        <rFont val="Times New Roman"/>
        <family val="1"/>
        <charset val="134"/>
      </rPr>
      <t xml:space="preserve">" give us a guide for </t>
    </r>
    <r>
      <rPr>
        <i/>
        <sz val="10"/>
        <color indexed="8"/>
        <rFont val="Times New Roman"/>
        <family val="1"/>
      </rPr>
      <t>where to place</t>
    </r>
    <r>
      <rPr>
        <sz val="10"/>
        <color indexed="8"/>
        <rFont val="Times New Roman"/>
        <family val="1"/>
      </rPr>
      <t xml:space="preserve"> the intercalary month: a month that has no 中 is intercalary. The length of a "medial [</t>
    </r>
    <r>
      <rPr>
        <i/>
        <sz val="10"/>
        <color indexed="8"/>
        <rFont val="Times New Roman"/>
        <family val="1"/>
      </rPr>
      <t>qi</t>
    </r>
    <r>
      <rPr>
        <sz val="10"/>
        <color indexed="8"/>
        <rFont val="Times New Roman"/>
        <family val="1"/>
      </rPr>
      <t xml:space="preserve">]" is 365¼ ÷ 12 = 30 </t>
    </r>
    <r>
      <rPr>
        <sz val="8"/>
        <color indexed="8"/>
        <rFont val="Times New Roman"/>
        <family val="1"/>
      </rPr>
      <t>14/32</t>
    </r>
    <r>
      <rPr>
        <sz val="10"/>
        <color indexed="8"/>
        <rFont val="Times New Roman"/>
        <family val="1"/>
      </rPr>
      <t xml:space="preserve"> days.</t>
    </r>
  </si>
  <si>
    <r>
      <t>The name of the denominator, which should be 32 (Excel simplifies fractions automatically, sorry), is the "medial [</t>
    </r>
    <r>
      <rPr>
        <i/>
        <sz val="10"/>
        <color indexed="8"/>
        <rFont val="Times New Roman"/>
        <family val="1"/>
      </rPr>
      <t>qi</t>
    </r>
    <r>
      <rPr>
        <sz val="10"/>
        <color indexed="8"/>
        <rFont val="Times New Roman"/>
        <family val="1"/>
        <charset val="134"/>
      </rPr>
      <t>] divisor" 中法.</t>
    </r>
  </si>
  <si>
    <t>THE PROCEDURES (Sun and Moon)</t>
  </si>
  <si>
    <t>E:</t>
  </si>
  <si>
    <t>solar year – 6 × sexagenary cycle =</t>
  </si>
  <si>
    <t>(日餘:中法)</t>
  </si>
  <si>
    <t>干支</t>
  </si>
  <si>
    <t>The difference between the solar year and six full sexagenary cycles is:</t>
  </si>
  <si>
    <r>
      <t xml:space="preserve">Next to the lunation 月 and solar year 歲 in importance is the sixty-day cycle of 天干地支 by which civil dates are "named" – think of these like the days of the week, Sunday, Monday, Tuesday… These are not "numbers" 數, nor are they "counted" 數, let alone added, subtracted, etc., </t>
    </r>
    <r>
      <rPr>
        <i/>
        <sz val="10"/>
        <color indexed="8"/>
        <rFont val="Times New Roman"/>
        <family val="1"/>
      </rPr>
      <t>but</t>
    </r>
    <r>
      <rPr>
        <sz val="10"/>
        <color indexed="8"/>
        <rFont val="Times New Roman"/>
        <family val="1"/>
      </rPr>
      <t>, for the purposes of Excel we can cut corners and with the following hack. Try it out.</t>
    </r>
    <r>
      <rPr>
        <sz val="10"/>
        <color indexed="8"/>
        <rFont val="Times New Roman"/>
        <family val="1"/>
        <charset val="134"/>
      </rPr>
      <t xml:space="preserve"> </t>
    </r>
  </si>
  <si>
    <t>(enter a number 1–60 in the orange box)</t>
  </si>
  <si>
    <r>
      <t xml:space="preserve">So the beginning of the solar year – the winter solstice 冬至 – effectively moves 5¼ places forward in this cycle every year, which, in "medial-divisors" of a day makes 168/32, or 日餘:中法. For example, supposing that we have a Year 1 that starts with winter solstice at </t>
    </r>
    <r>
      <rPr>
        <i/>
        <sz val="10"/>
        <color indexed="8"/>
        <rFont val="Times New Roman"/>
        <family val="1"/>
      </rPr>
      <t>midnight</t>
    </r>
    <r>
      <rPr>
        <sz val="10"/>
        <color indexed="8"/>
        <rFont val="Times New Roman"/>
        <family val="1"/>
      </rPr>
      <t xml:space="preserve"> of the date entered above, you get:</t>
    </r>
  </si>
  <si>
    <t>WS, year #</t>
  </si>
  <si>
    <t>Time of day</t>
  </si>
  <si>
    <t>F:</t>
  </si>
  <si>
    <t>1 "rule" =</t>
  </si>
  <si>
    <r>
      <t xml:space="preserve">Now, the "rule" is the coincidence of the beginning of the (1) solar year 歲 and (2) lunar month 月. In terms of </t>
    </r>
    <r>
      <rPr>
        <i/>
        <sz val="10"/>
        <color indexed="8"/>
        <rFont val="Times New Roman"/>
        <family val="1"/>
      </rPr>
      <t>days</t>
    </r>
    <r>
      <rPr>
        <sz val="10"/>
        <color indexed="8"/>
        <rFont val="Times New Roman"/>
        <family val="1"/>
      </rPr>
      <t xml:space="preserve">日, </t>
    </r>
    <r>
      <rPr>
        <sz val="10"/>
        <color indexed="8"/>
        <rFont val="Times New Roman"/>
        <family val="1"/>
        <charset val="134"/>
      </rPr>
      <t>with a "rule" of 19 years and a year of 365¼ days, that gives us</t>
    </r>
  </si>
  <si>
    <t>Given the fraction there at the end, we need four "rules" for a coincidence of (1) winter solstice 冬至, (2) new moon 朔, and (3) midnight 夜半. This period is called an "obscuration" 蔀, and it gives us:</t>
  </si>
  <si>
    <t>蔀法</t>
  </si>
  <si>
    <t>蔀月</t>
  </si>
  <si>
    <t>蔀日</t>
  </si>
  <si>
    <t>(years)</t>
  </si>
  <si>
    <t>(months)</t>
  </si>
  <si>
    <t>(days)</t>
  </si>
  <si>
    <t>Obs. #</t>
  </si>
  <si>
    <t xml:space="preserve">That gives us nice round numbers for the year, the month, and the day, but note that the number of days in an "obscuration" is 462 × 60 + 39 days, so the date of each "obscuration head" moves 39 places forward in the sexagenary cycle. Starting from 冬十有一月甲子夜半朔旦冬至, </t>
  </si>
  <si>
    <r>
      <t xml:space="preserve">The coincidence of 冬十有一月甲子夜半朔旦冬至 thus requires </t>
    </r>
    <r>
      <rPr>
        <i/>
        <sz val="10"/>
        <color indexed="8"/>
        <rFont val="Times New Roman"/>
        <family val="1"/>
      </rPr>
      <t>twenty "obscurations"</t>
    </r>
    <r>
      <rPr>
        <sz val="10"/>
        <color indexed="8"/>
        <rFont val="Times New Roman"/>
        <family val="1"/>
        <charset val="134"/>
      </rPr>
      <t>, which makes an "era" 紀 and gives us the following values:</t>
    </r>
  </si>
  <si>
    <t>紀法</t>
  </si>
  <si>
    <t>紀月</t>
  </si>
  <si>
    <t>[紀日]</t>
  </si>
  <si>
    <r>
      <t xml:space="preserve">That puts us back to day 甲子 at the end of an "era", but 1520 = 25 × 60 + 20, so to find the coincidence of the (1) winter solstice, (2) new moon, (3) midnight, (4) day 甲子, and (5) </t>
    </r>
    <r>
      <rPr>
        <i/>
        <sz val="10"/>
        <color indexed="8"/>
        <rFont val="Times New Roman"/>
        <family val="1"/>
      </rPr>
      <t>year</t>
    </r>
    <r>
      <rPr>
        <sz val="10"/>
        <color indexed="8"/>
        <rFont val="Times New Roman"/>
        <family val="1"/>
        <charset val="134"/>
      </rPr>
      <t xml:space="preserve"> 甲子, we need </t>
    </r>
    <r>
      <rPr>
        <i/>
        <sz val="10"/>
        <color indexed="8"/>
        <rFont val="Times New Roman"/>
        <family val="1"/>
      </rPr>
      <t>three "eras"</t>
    </r>
    <r>
      <rPr>
        <sz val="10"/>
        <color indexed="8"/>
        <rFont val="Times New Roman"/>
        <family val="1"/>
      </rPr>
      <t>, which makes an "origin" 元:</t>
    </r>
  </si>
  <si>
    <t>元法</t>
  </si>
  <si>
    <t>[元月]</t>
  </si>
  <si>
    <t>These "resonance periods" will be used below for converting between units of time and space.</t>
  </si>
  <si>
    <t>G:</t>
  </si>
  <si>
    <r>
      <t xml:space="preserve">The moon travels faster than the sun. The "rule" is that in 19 years the sun makes 19 "circuits", and in 19 years there are 235 months (see A), which means that in 19 years </t>
    </r>
    <r>
      <rPr>
        <i/>
        <sz val="10"/>
        <color indexed="8"/>
        <rFont val="Times New Roman"/>
        <family val="1"/>
      </rPr>
      <t xml:space="preserve">the moon </t>
    </r>
    <r>
      <rPr>
        <sz val="10"/>
        <color indexed="8"/>
        <rFont val="Times New Roman"/>
        <family val="1"/>
        <charset val="134"/>
      </rPr>
      <t xml:space="preserve">makes 235+19=254 circuits. In one "obscuration", therefore, it makes: </t>
    </r>
  </si>
  <si>
    <t>月周</t>
  </si>
  <si>
    <t>H:</t>
  </si>
  <si>
    <t>3.2</t>
  </si>
  <si>
    <t>推入蔀術</t>
  </si>
  <si>
    <r>
      <t>以元法除去上元，</t>
    </r>
    <r>
      <rPr>
        <sz val="10"/>
        <rFont val="Times New Roman"/>
        <family val="1"/>
      </rPr>
      <t>…………………………………………………………………………………………………..</t>
    </r>
  </si>
  <si>
    <r>
      <t>其餘以紀法除之，</t>
    </r>
    <r>
      <rPr>
        <sz val="10"/>
        <rFont val="Times New Roman"/>
        <family val="1"/>
      </rPr>
      <t>…………………………………………………………………………………………………..</t>
    </r>
  </si>
  <si>
    <r>
      <t>所得數從天紀，筭外則所入紀也。不滿紀法者，入紀年數也。</t>
    </r>
    <r>
      <rPr>
        <sz val="10"/>
        <rFont val="Times New Roman"/>
        <family val="1"/>
      </rPr>
      <t>…………………………………………………………………………………………………..</t>
    </r>
  </si>
  <si>
    <r>
      <t>以蔀法除之，</t>
    </r>
    <r>
      <rPr>
        <sz val="10"/>
        <rFont val="Times New Roman"/>
        <family val="1"/>
      </rPr>
      <t>…………………………………………………………………………………………………..</t>
    </r>
  </si>
  <si>
    <t>所得數從甲子蔀起，筭外，所入紀歲名命之，筭上，即所求年太歲所在。…………………………………………………………………………………………………..</t>
  </si>
  <si>
    <r>
      <t>月食數之生也，乃記月食之既者。率二十三食而復既，其月（食）百三十五，</t>
    </r>
    <r>
      <rPr>
        <sz val="10"/>
        <rFont val="SimSun"/>
      </rPr>
      <t>率之相除，得五（百）〔月〕二十三之二十而一食。</t>
    </r>
    <r>
      <rPr>
        <sz val="10"/>
        <rFont val="SimSun"/>
      </rPr>
      <t>以除一歲之月，得歲有再食五百一十三分之五十〔五〕也。</t>
    </r>
    <r>
      <rPr>
        <sz val="10"/>
        <rFont val="SimSun"/>
      </rPr>
      <t>分終其法，因以與蔀相約，得四與二十七，互之，會二千五十二，</t>
    </r>
    <r>
      <rPr>
        <sz val="10"/>
        <rFont val="SimSun"/>
      </rPr>
      <t>二十而與元會。</t>
    </r>
  </si>
  <si>
    <t>蔀會，二千五十二。</t>
  </si>
  <si>
    <t>月數，百三十五。</t>
  </si>
  <si>
    <t>食法，二十三。</t>
  </si>
  <si>
    <t>*Lunar eclipse constants</t>
  </si>
  <si>
    <r>
      <t xml:space="preserve">Based on long-term observation, it was concluded that lunar eclipses occured in a cycle of 23 lunar eclipses in 135 months, with 135:23 (月數:食法) = 5 </t>
    </r>
    <r>
      <rPr>
        <sz val="8"/>
        <color indexed="8"/>
        <rFont val="Times New Roman"/>
        <family val="1"/>
      </rPr>
      <t>20/23</t>
    </r>
    <r>
      <rPr>
        <sz val="10"/>
        <color indexed="8"/>
        <rFont val="Times New Roman"/>
        <family val="1"/>
        <charset val="134"/>
      </rPr>
      <t xml:space="preserve"> months per eclipse, and, thus, 1081:513 (歲數:食數) = 2 </t>
    </r>
    <r>
      <rPr>
        <sz val="8"/>
        <color indexed="8"/>
        <rFont val="Times New Roman"/>
        <family val="1"/>
      </rPr>
      <t>55/513</t>
    </r>
    <r>
      <rPr>
        <sz val="10"/>
        <color indexed="8"/>
        <rFont val="Times New Roman"/>
        <family val="1"/>
        <charset val="134"/>
      </rPr>
      <t xml:space="preserve"> eclipses per year.</t>
    </r>
  </si>
  <si>
    <t>At this rate, it takes "obscuration coincidence" 蔀會 years (2052) for the eclipse cycle to coincide with the "obscuration", and "origin coincidence" 元會 years (41040) years for it to coincide with the "origin".</t>
  </si>
  <si>
    <t>3.3</t>
  </si>
  <si>
    <t>推月食所入蔀會年</t>
  </si>
  <si>
    <r>
      <t>以元會除去上元，</t>
    </r>
    <r>
      <rPr>
        <sz val="10"/>
        <rFont val="Times New Roman"/>
        <family val="1"/>
      </rPr>
      <t>…………………………………………………………………………………………………..</t>
    </r>
  </si>
  <si>
    <t>§43</t>
  </si>
  <si>
    <t>§44</t>
  </si>
  <si>
    <r>
      <t>其餘以蔀會除之，</t>
    </r>
    <r>
      <rPr>
        <sz val="10"/>
        <rFont val="Times New Roman"/>
        <family val="1"/>
      </rPr>
      <t>…………………………………………………………………………………………………..</t>
    </r>
  </si>
  <si>
    <r>
      <t>所得以二十七乘之，</t>
    </r>
    <r>
      <rPr>
        <sz val="10"/>
        <rFont val="Times New Roman"/>
        <family val="1"/>
      </rPr>
      <t>…………………………………………………………………………………………………..</t>
    </r>
  </si>
  <si>
    <r>
      <t>滿六十除去之，</t>
    </r>
    <r>
      <rPr>
        <sz val="10"/>
        <rFont val="Times New Roman"/>
        <family val="1"/>
      </rPr>
      <t>…………………………………………………………………………………………………..</t>
    </r>
  </si>
  <si>
    <r>
      <t>餘以二十除。</t>
    </r>
    <r>
      <rPr>
        <sz val="10"/>
        <rFont val="Times New Roman"/>
        <family val="1"/>
      </rPr>
      <t>…………………………………………………………………………………………………..</t>
    </r>
  </si>
  <si>
    <r>
      <t>所得數，從天紀，筭外，所入紀，</t>
    </r>
    <r>
      <rPr>
        <sz val="10"/>
        <rFont val="Times New Roman"/>
        <family val="1"/>
      </rPr>
      <t>…………………………………………………………………………………………………..</t>
    </r>
  </si>
  <si>
    <t>不滿二十者，數從甲子蔀起，筭外，所入蔀會也。…………………………………………………………………………………………………..</t>
  </si>
  <si>
    <t>其初不滿蔀會者，入蔀會年數也，…………………………………………………………………………………………………..</t>
  </si>
  <si>
    <t>各以所入紀歲名命之，筭上，即所求年太歲所在。…………………………………………………………………………………………………..</t>
  </si>
  <si>
    <t xml:space="preserve">推天正術  </t>
  </si>
  <si>
    <r>
      <t>置入蔀年減一，</t>
    </r>
    <r>
      <rPr>
        <sz val="10"/>
        <rFont val="Times New Roman"/>
        <family val="1"/>
      </rPr>
      <t>…………………………………………………………………………………………………..</t>
    </r>
  </si>
  <si>
    <r>
      <t>以章月乘之，</t>
    </r>
    <r>
      <rPr>
        <sz val="10"/>
        <rFont val="Times New Roman"/>
        <family val="1"/>
      </rPr>
      <t>…………………………………………………………………………………………………..</t>
    </r>
  </si>
  <si>
    <r>
      <t>滿章法得一，名為積月，不滿為閏餘，</t>
    </r>
    <r>
      <rPr>
        <sz val="10"/>
        <rFont val="Times New Roman"/>
        <family val="1"/>
      </rPr>
      <t>…………………………………………………………………………………………………..</t>
    </r>
  </si>
  <si>
    <r>
      <t>十二以上，其歲有閏。</t>
    </r>
    <r>
      <rPr>
        <sz val="10"/>
        <rFont val="Times New Roman"/>
        <family val="1"/>
      </rPr>
      <t>…………………………………………………………………………………………………..</t>
    </r>
  </si>
  <si>
    <t>推天正朔日</t>
  </si>
  <si>
    <t>§46</t>
  </si>
  <si>
    <t>§47</t>
  </si>
  <si>
    <r>
      <t>置入蔀積月，</t>
    </r>
    <r>
      <rPr>
        <sz val="10"/>
        <rFont val="Times New Roman"/>
        <family val="1"/>
      </rPr>
      <t>…………………………………………………………………………………………………..</t>
    </r>
  </si>
  <si>
    <r>
      <t>以蔀日乘之，</t>
    </r>
    <r>
      <rPr>
        <sz val="10"/>
        <rFont val="Times New Roman"/>
        <family val="1"/>
      </rPr>
      <t>…………………………………………………………………………………………………..</t>
    </r>
  </si>
  <si>
    <t>滿蔀月得一，名為積日，不滿為小餘，…………………………………………………………………………………………………..</t>
  </si>
  <si>
    <r>
      <t>積日以六十除去之，其餘為大餘，</t>
    </r>
    <r>
      <rPr>
        <sz val="10"/>
        <rFont val="Times New Roman"/>
        <family val="1"/>
      </rPr>
      <t>…………………………………………………………………………………………………..</t>
    </r>
  </si>
  <si>
    <r>
      <t>以所入蔀名命之，筭盡之外，則前年天正十一月朔日也。</t>
    </r>
    <r>
      <rPr>
        <sz val="10"/>
        <rFont val="Times New Roman"/>
        <family val="1"/>
      </rPr>
      <t>…………………………………………………………………………………………………..</t>
    </r>
  </si>
  <si>
    <t>小餘四百四十一以上，其月大。…………………………………………………………………………………………………</t>
  </si>
  <si>
    <t>加大餘二十九，小餘四百九十九，小餘滿蔀月得一，上加大餘，命之如前。</t>
  </si>
  <si>
    <t>月</t>
  </si>
  <si>
    <t>朔日</t>
  </si>
  <si>
    <t>大小</t>
  </si>
  <si>
    <t>§48</t>
  </si>
  <si>
    <t>天紀歲名</t>
  </si>
  <si>
    <r>
      <t>己酉</t>
    </r>
    <r>
      <rPr>
        <sz val="10"/>
        <rFont val="SimSun"/>
      </rPr>
      <t>十六</t>
    </r>
  </si>
  <si>
    <t>周天乘閏餘減之，…………………………………………………………………………………………………</t>
  </si>
  <si>
    <t>餘滿蔀月，則天正朔日也。…………………………………………………………………………………………………</t>
  </si>
  <si>
    <t>3.8</t>
  </si>
  <si>
    <t>推二十四氣術</t>
  </si>
  <si>
    <t>§49</t>
  </si>
  <si>
    <t>置入蔀年減一，…………………………………………………………………………………………………..</t>
  </si>
  <si>
    <t>以日餘乘之，…………………………………………………………………………………………………..</t>
  </si>
  <si>
    <r>
      <t>滿中法得一，名曰</t>
    </r>
    <r>
      <rPr>
        <sz val="10"/>
        <rFont val="SimSun"/>
      </rPr>
      <t>大餘，不滿為小餘，</t>
    </r>
    <r>
      <rPr>
        <sz val="10"/>
        <rFont val="Times New Roman"/>
        <family val="1"/>
      </rPr>
      <t>…………………………………………………………………………………………………..</t>
    </r>
  </si>
  <si>
    <t>大餘滿六十除去之，…………………………………………………………………………………………………..</t>
  </si>
  <si>
    <t>其餘以蔀名命之，筭盡之外，則前年冬至之日也。…………………………………………………………………………………………………..</t>
  </si>
  <si>
    <t>求次氣，加大餘十五，小餘七，除命之如前，小寒日也。</t>
  </si>
  <si>
    <t>氣</t>
  </si>
  <si>
    <t>日</t>
  </si>
  <si>
    <t>3.9</t>
  </si>
  <si>
    <t>推閏月所在</t>
  </si>
  <si>
    <t>§50</t>
  </si>
  <si>
    <t>以閏餘減章法，…………………………………………………………………………………………………</t>
  </si>
  <si>
    <t>餘以十二乘之，…………………………………………………………………………………………………</t>
  </si>
  <si>
    <t>滿章閏數得一，…………………………………………………………………………………………………</t>
  </si>
  <si>
    <t>滿四以上亦得一筭之數，…………………………………………………………………………………………………</t>
  </si>
  <si>
    <t>從前年十一月起，筭盡之外，閏月也。…………………………………………………………………………………………………</t>
  </si>
  <si>
    <t>3.10</t>
  </si>
  <si>
    <t>推弦、望日</t>
  </si>
  <si>
    <t>(i.e. 161 BCE)</t>
  </si>
  <si>
    <r>
      <t>其弦、望小餘二百六十以下，每以百刻乘之，滿蔀月得一刻，不滿其所近節氣夜漏之半者，</t>
    </r>
    <r>
      <rPr>
        <sz val="10"/>
        <rFont val="SimSun"/>
      </rPr>
      <t>以筭上為日。</t>
    </r>
  </si>
  <si>
    <r>
      <t xml:space="preserve">*The year 高祖元年 began 十月丁亥朔 (14 November 206 BCE) and ended 九月庚辰晦 (2 November 205 BCE), following the Qin civil calendar which began the civil year on month X, which was changed [back] to begin on 正月 starting only in 103 BCE. Regardless of whether a civil year like 高祖元年 begins on month X or I, it will effectively fall </t>
    </r>
    <r>
      <rPr>
        <i/>
        <sz val="10"/>
        <color indexed="8"/>
        <rFont val="Times New Roman"/>
        <family val="1"/>
      </rPr>
      <t>between</t>
    </r>
    <r>
      <rPr>
        <sz val="10"/>
        <color indexed="8"/>
        <rFont val="Times New Roman"/>
        <family val="1"/>
        <charset val="134"/>
      </rPr>
      <t xml:space="preserve"> Julian years (e.g. November–November, February–February). To avoid confusion, we normally use the year in which the 正月 and most of the 年 falls as the Julian equivalent. As such, we say that Gaozu's reign began in 206 BCE, but that 高祖元年 = 205 BCE. Also, for the purposes of calculation, because there is no year 0 AD/BC, astronomers convert 1 BCE = 0, 2 BCE = –1, 3 BCE = –2, … 205 BCE = –204.</t>
    </r>
  </si>
  <si>
    <r>
      <t xml:space="preserve">*The distinction between </t>
    </r>
    <r>
      <rPr>
        <b/>
        <sz val="10"/>
        <color indexed="8"/>
        <rFont val="Times New Roman"/>
        <family val="1"/>
      </rPr>
      <t>cardinal</t>
    </r>
    <r>
      <rPr>
        <sz val="10"/>
        <color indexed="8"/>
        <rFont val="Times New Roman"/>
        <family val="1"/>
      </rPr>
      <t xml:space="preserve"> and </t>
    </r>
    <r>
      <rPr>
        <b/>
        <sz val="10"/>
        <color indexed="8"/>
        <rFont val="Times New Roman"/>
        <family val="1"/>
      </rPr>
      <t>ordinal</t>
    </r>
    <r>
      <rPr>
        <sz val="10"/>
        <color indexed="8"/>
        <rFont val="Times New Roman"/>
        <family val="1"/>
      </rPr>
      <t xml:space="preserve"> numbers in ancient Chinese depends almost exclusively on context, which we don't always grasp, so the question we should ask ourselves about 「高皇帝受命四十有五歲」 is whether this is "45 years after" (–204 + 45 = –159) or "the 45th year of/since" (–204 + 44 = –160). Luckily, we need not guess, because modern calculations place a near-enough configuration in –161: winter solstice fell at 23:03 LAT, 漢文帝後元三年十月癸亥 (24 December 162 BCE), only 57 minutes prior to the beginning of day 甲子 and twenty-six hours prior to new moon, 01:02 LAT, 十一月乙丑朔旦 (26 December). As per above, the year beginning in November of 162 BCE (–161) is to be counted as the year 161 BCE (–160), so:</t>
    </r>
  </si>
  <si>
    <t>(i.e. 205 BCE)</t>
  </si>
  <si>
    <t>(i.e. 9281 BCE)</t>
  </si>
  <si>
    <r>
      <t xml:space="preserve">*This is "high origin," the zero point for </t>
    </r>
    <r>
      <rPr>
        <i/>
        <sz val="10"/>
        <color indexed="8"/>
        <rFont val="Times New Roman"/>
        <family val="1"/>
      </rPr>
      <t>everything</t>
    </r>
    <r>
      <rPr>
        <sz val="10"/>
        <color indexed="8"/>
        <rFont val="Times New Roman"/>
        <family val="1"/>
      </rPr>
      <t>, which is calculated backwards from the previous with the values below.</t>
    </r>
  </si>
  <si>
    <t>year sought:</t>
  </si>
  <si>
    <t>i.e.</t>
  </si>
  <si>
    <t>Distance from High Origin:</t>
  </si>
  <si>
    <t>By implicit conversion (see above), this gives us a 入蔀年 of:</t>
  </si>
  <si>
    <t>Civil month</t>
  </si>
  <si>
    <t>刻</t>
  </si>
  <si>
    <t>所近節氣</t>
  </si>
  <si>
    <t>Epact:</t>
  </si>
  <si>
    <t>十一月朔</t>
  </si>
  <si>
    <t>十二月朔</t>
  </si>
  <si>
    <t>Qi elapsed</t>
  </si>
  <si>
    <t>Epact</t>
  </si>
  <si>
    <t>Days elapsed</t>
  </si>
  <si>
    <t>Ordinal qi no.</t>
  </si>
  <si>
    <r>
      <t xml:space="preserve">New moon fell this amount of time </t>
    </r>
    <r>
      <rPr>
        <i/>
        <sz val="10"/>
        <color indexed="8"/>
        <rFont val="Times New Roman"/>
        <family val="1"/>
      </rPr>
      <t>prior</t>
    </r>
    <r>
      <rPr>
        <sz val="10"/>
        <color indexed="8"/>
        <rFont val="Times New Roman"/>
        <family val="1"/>
      </rPr>
      <t xml:space="preserve"> to winter solstice, so the epact will flip to positive at some point over the course of month XI – the month, by definition, that holds the winter solstice. Adding this to the length of the year, casting out full years, then gives us the number of days elapsed since the previous winter solstice or "days elapsed". Dividing </t>
    </r>
    <r>
      <rPr>
        <i/>
        <sz val="10"/>
        <color indexed="8"/>
        <rFont val="Times New Roman"/>
        <family val="1"/>
      </rPr>
      <t xml:space="preserve">that </t>
    </r>
    <r>
      <rPr>
        <sz val="10"/>
        <color indexed="8"/>
        <rFont val="Times New Roman"/>
        <family val="1"/>
      </rPr>
      <t xml:space="preserve">by the number of days per </t>
    </r>
    <r>
      <rPr>
        <i/>
        <sz val="10"/>
        <color indexed="8"/>
        <rFont val="Times New Roman"/>
        <family val="1"/>
      </rPr>
      <t>qi</t>
    </r>
    <r>
      <rPr>
        <sz val="10"/>
        <color indexed="8"/>
        <rFont val="Times New Roman"/>
        <family val="1"/>
      </rPr>
      <t>, we get the number of "</t>
    </r>
    <r>
      <rPr>
        <i/>
        <sz val="10"/>
        <color indexed="8"/>
        <rFont val="Times New Roman"/>
        <family val="1"/>
      </rPr>
      <t>qi</t>
    </r>
    <r>
      <rPr>
        <sz val="10"/>
        <color indexed="8"/>
        <rFont val="Times New Roman"/>
        <family val="1"/>
      </rPr>
      <t xml:space="preserve"> elapsed". By rounding </t>
    </r>
    <r>
      <rPr>
        <i/>
        <sz val="10"/>
        <color indexed="8"/>
        <rFont val="Times New Roman"/>
        <family val="1"/>
      </rPr>
      <t>that</t>
    </r>
    <r>
      <rPr>
        <sz val="10"/>
        <color indexed="8"/>
        <rFont val="Times New Roman"/>
        <family val="1"/>
      </rPr>
      <t xml:space="preserve">, casting out full cycles, and adding 1, we get the "ordinal qi number" of the closest </t>
    </r>
    <r>
      <rPr>
        <i/>
        <sz val="10"/>
        <color indexed="8"/>
        <rFont val="Times New Roman"/>
        <family val="1"/>
      </rPr>
      <t>qi</t>
    </r>
    <r>
      <rPr>
        <sz val="10"/>
        <color indexed="8"/>
        <rFont val="Times New Roman"/>
        <family val="1"/>
      </rPr>
      <t>. Lastly, by consulting the table calculated in procedure 3.8 we get the name.</t>
    </r>
  </si>
  <si>
    <t>Epact*</t>
  </si>
  <si>
    <t>夜漏之半</t>
  </si>
  <si>
    <t>筭上為日</t>
  </si>
  <si>
    <t>Ast. Month</t>
  </si>
  <si>
    <t>civil no.</t>
  </si>
  <si>
    <t>*In this step, we are essentially taking the table of new moons calculated in Procedure 3.7 and interpolating intermediate values between the original rows. Below, I have done this by inserting three rows, in grey, after each original row, in black. In order to automate the lookup of values from the previous table, I have assigned the astronomical months, in Column B, an ordinal number, in Column C. Astronomical month I is always Civil month XI, but remember that the order of the subsequent months might be interrupted by the placement of an intercallary month in Procedure 3.9. I have automated the insertion of the intercallary month in Column D and the translation of ordinal numbers into standard civil date format in Column E.</t>
  </si>
  <si>
    <t>推沒滅術</t>
  </si>
  <si>
    <t>置入蔀年減一，…………………………………………………………………………………………………</t>
  </si>
  <si>
    <t>以沒數乘之，…………………………………………………………………………………………………</t>
  </si>
  <si>
    <t>滿日法得一，名為積沒，不盡為沒餘。…………………………………………………………………………………………………</t>
  </si>
  <si>
    <t>以通法乘積沒，…………………………………………………………………………………………………</t>
  </si>
  <si>
    <t>滿沒法得一，名為大餘，不盡為小餘。…………………………………………………………………………………………………</t>
  </si>
  <si>
    <t>大餘滿六十除去之，…………………………………………………………………………………………………</t>
  </si>
  <si>
    <t>其餘以蔀名命之，筭盡之外，前年冬至前沒日也。…………………………………………………………………………………………………</t>
  </si>
  <si>
    <t>除六十</t>
  </si>
  <si>
    <t>沒·滅</t>
  </si>
  <si>
    <t>推合朔所在度</t>
  </si>
  <si>
    <t>§51</t>
  </si>
  <si>
    <t>3.11</t>
  </si>
  <si>
    <t>§52</t>
  </si>
  <si>
    <t>§53</t>
  </si>
  <si>
    <t>3.13</t>
  </si>
  <si>
    <t>§54</t>
  </si>
  <si>
    <t>滿大周除去之，………………………………………………………………………………………………………………………………</t>
  </si>
  <si>
    <t>其餘滿蔀月得一，名為積度，不盡為餘分。…………………………………………………………………………………………………</t>
  </si>
  <si>
    <r>
      <t xml:space="preserve">*Note that the following line of the base text is corrupt, and that its interpretation depends on the scholar. The base text reads 置入蔀積月以日乘之, which the Zhonghua shuju edn reads as 以（日）〔蔀月〕乘之 after Qian Daxin. Liu Hongtao (2003, 73) emends this to 置入蔀積（月）〔日〕以（日）〔蔀月〕乘之〔并小餘〕, explaining that the position of syzygy in </t>
    </r>
    <r>
      <rPr>
        <i/>
        <sz val="10"/>
        <color indexed="8"/>
        <rFont val="Times New Roman"/>
        <family val="1"/>
      </rPr>
      <t xml:space="preserve">du </t>
    </r>
    <r>
      <rPr>
        <sz val="10"/>
        <color indexed="8"/>
        <rFont val="Times New Roman"/>
        <family val="1"/>
      </rPr>
      <t xml:space="preserve">equals the number of days elapsed from winter solstice, casting out full cycles of 365¼ and as counted from Dipper 21¼ </t>
    </r>
    <r>
      <rPr>
        <i/>
        <sz val="10"/>
        <color indexed="8"/>
        <rFont val="Times New Roman"/>
        <family val="1"/>
      </rPr>
      <t>du</t>
    </r>
    <r>
      <rPr>
        <sz val="10"/>
        <color indexed="8"/>
        <rFont val="Times New Roman"/>
        <family val="1"/>
      </rPr>
      <t xml:space="preserve">. As such, we are clearly converting the 積日 into units of 940 (蔀月) so as to include </t>
    </r>
    <r>
      <rPr>
        <i/>
        <sz val="10"/>
        <color indexed="8"/>
        <rFont val="Times New Roman"/>
        <family val="1"/>
      </rPr>
      <t>the fractional part of a day elapsed</t>
    </r>
    <r>
      <rPr>
        <sz val="10"/>
        <color indexed="8"/>
        <rFont val="Times New Roman"/>
        <family val="1"/>
      </rPr>
      <t xml:space="preserve">, which should be added to the product before casting out full cycles at this scale (大周) and dividing by 蔀月 to return to the scale of days and/or/as </t>
    </r>
    <r>
      <rPr>
        <i/>
        <sz val="10"/>
        <color indexed="8"/>
        <rFont val="Times New Roman"/>
        <family val="1"/>
      </rPr>
      <t xml:space="preserve">du. </t>
    </r>
    <r>
      <rPr>
        <sz val="10"/>
        <color indexed="8"/>
        <rFont val="Times New Roman"/>
        <family val="1"/>
      </rPr>
      <t>Cullen (2017,  173) instead reads this line as 置入蔀積月以〔蔀〕日乘之 "Set out the Accumulated Months of entry into the Obscuration, multiply by Obscuration  days", which renders the same results as Liu Hongtao with less modification to the base text.</t>
    </r>
  </si>
  <si>
    <t>I prefer:</t>
  </si>
  <si>
    <t>Cullen</t>
  </si>
  <si>
    <t>積度加斗二十一度，加二百三十五分，…………………………………………………………………………………………………</t>
  </si>
  <si>
    <t>觜</t>
  </si>
  <si>
    <t>房</t>
  </si>
  <si>
    <t>Lodge</t>
  </si>
  <si>
    <t>Width</t>
  </si>
  <si>
    <t>Lodge-du</t>
  </si>
  <si>
    <t>Ast. month</t>
  </si>
  <si>
    <t>du</t>
  </si>
  <si>
    <t>parts</t>
  </si>
  <si>
    <r>
      <t xml:space="preserve">+ 29 </t>
    </r>
    <r>
      <rPr>
        <b/>
        <sz val="8"/>
        <rFont val="Times New Roman"/>
        <family val="1"/>
      </rPr>
      <t>499</t>
    </r>
    <r>
      <rPr>
        <b/>
        <sz val="10"/>
        <rFont val="Times New Roman"/>
        <family val="1"/>
      </rPr>
      <t xml:space="preserve"> :</t>
    </r>
  </si>
  <si>
    <t>宿度</t>
  </si>
  <si>
    <t>十四月</t>
  </si>
  <si>
    <t>十五月</t>
  </si>
  <si>
    <t>推日所在度</t>
  </si>
  <si>
    <t>§56</t>
  </si>
  <si>
    <r>
      <t>一術</t>
    </r>
    <r>
      <rPr>
        <b/>
        <sz val="10"/>
        <rFont val="SimSun"/>
      </rPr>
      <t>，</t>
    </r>
  </si>
  <si>
    <t>3.15</t>
  </si>
  <si>
    <t>以閏餘乘周天，…………………………………………………………………………………………………</t>
  </si>
  <si>
    <t>合以斗二十一度四分一，則天正合朔日月所在度。…………………………………………………………………………………………………</t>
  </si>
  <si>
    <t>3.14</t>
  </si>
  <si>
    <t>§55</t>
  </si>
  <si>
    <t>以減大周，…………………………………………………………………………………………………</t>
  </si>
  <si>
    <t>餘滿蔀月得一，…………………………………………………………………………………………………</t>
  </si>
  <si>
    <t>置入蔀積日之數，…………………………………………………………………………………………………</t>
  </si>
  <si>
    <t>以蔀法乘之，…………………………………………………………………………………………………</t>
  </si>
  <si>
    <t>滿蔀日除去之，…………………………………………………………………………………………………</t>
  </si>
  <si>
    <t>其餘滿蔀法得一，為積度，不盡為餘分。…………………………………………………………………………………………………</t>
  </si>
  <si>
    <r>
      <t>求次日</t>
    </r>
    <r>
      <rPr>
        <sz val="10"/>
        <color indexed="8"/>
        <rFont val="SimSun"/>
      </rPr>
      <t>，加一度。求次月，大加三十度，小加二十九度，經斗除十九分。</t>
    </r>
  </si>
  <si>
    <r>
      <t>積度加斗二十一度，加十九分，以宿次除去之，則</t>
    </r>
    <r>
      <rPr>
        <b/>
        <sz val="10"/>
        <rFont val="Times New Roman"/>
        <family val="1"/>
      </rPr>
      <t>夜半日所在宿度也</t>
    </r>
    <r>
      <rPr>
        <sz val="10"/>
        <rFont val="Times New Roman"/>
        <family val="1"/>
        <charset val="134"/>
      </rPr>
      <t>。…………………………………………………………………………………………………</t>
    </r>
  </si>
  <si>
    <t>+ 1 :</t>
  </si>
  <si>
    <t>Date</t>
  </si>
  <si>
    <t>3.16</t>
  </si>
  <si>
    <r>
      <t>一術</t>
    </r>
    <r>
      <rPr>
        <sz val="10"/>
        <color indexed="8"/>
        <rFont val="SimSun"/>
      </rPr>
      <t>，</t>
    </r>
  </si>
  <si>
    <t>§57</t>
  </si>
  <si>
    <t>以朔小餘減合〔朔〕度分，即日夜半所在。…………………………………………………………………………………………………</t>
  </si>
  <si>
    <t>其分二百三十五約之，…………………………………………………………………………………………………</t>
  </si>
  <si>
    <t>十九乘之。…………………………………………………………………………………………………</t>
  </si>
  <si>
    <t>–</t>
  </si>
  <si>
    <t>3.17</t>
  </si>
  <si>
    <t>推月所在度</t>
  </si>
  <si>
    <t>§58</t>
  </si>
  <si>
    <t>除如上法，則所求之日夜半月所在宿度也。</t>
  </si>
  <si>
    <t>以月周乘之，…………………………………………………………………………………………………</t>
  </si>
  <si>
    <t>積度加斗二十一十九分，…………………………………………………………………………………………………</t>
  </si>
  <si>
    <r>
      <t xml:space="preserve">Lodge cum. </t>
    </r>
    <r>
      <rPr>
        <b/>
        <i/>
        <sz val="10"/>
        <rFont val="Times New Roman"/>
        <family val="1"/>
      </rPr>
      <t>du</t>
    </r>
  </si>
  <si>
    <r>
      <t xml:space="preserve">Cum. </t>
    </r>
    <r>
      <rPr>
        <b/>
        <i/>
        <sz val="10"/>
        <rFont val="Times New Roman"/>
        <family val="1"/>
      </rPr>
      <t>du</t>
    </r>
  </si>
  <si>
    <t>其冬下旬月在張、心署之，謂晝漏分後盡漏盡也。</t>
  </si>
  <si>
    <r>
      <t xml:space="preserve">*On this piece of </t>
    </r>
    <r>
      <rPr>
        <i/>
        <sz val="10"/>
        <color indexed="8"/>
        <rFont val="Times New Roman"/>
        <family val="1"/>
      </rPr>
      <t>li</t>
    </r>
    <r>
      <rPr>
        <sz val="10"/>
        <color indexed="8"/>
        <rFont val="Times New Roman"/>
        <family val="1"/>
      </rPr>
      <t xml:space="preserve"> trivia, see Cullen (2017, 176–178).</t>
    </r>
  </si>
  <si>
    <t>3.18</t>
  </si>
  <si>
    <t>一術，</t>
  </si>
  <si>
    <t>§59</t>
  </si>
  <si>
    <t>以蔀法除朔小餘，…………………………………………………………………………………………………</t>
  </si>
  <si>
    <t>所得以減日夜半度也。餘以減分，即月夜半所在度也。…………………………………………………………………………………………………</t>
  </si>
  <si>
    <r>
      <t xml:space="preserve">cum. </t>
    </r>
    <r>
      <rPr>
        <i/>
        <sz val="10"/>
        <rFont val="Times New Roman"/>
        <family val="1"/>
      </rPr>
      <t>du</t>
    </r>
  </si>
  <si>
    <t>3.19</t>
  </si>
  <si>
    <t>推日明所入度分術</t>
  </si>
  <si>
    <t>§60</t>
  </si>
  <si>
    <r>
      <t xml:space="preserve">*Note that 「所近節氣」 would seem to refer to whichever of the twenty-four </t>
    </r>
    <r>
      <rPr>
        <i/>
        <sz val="10"/>
        <color indexed="8"/>
        <rFont val="Times New Roman"/>
        <family val="1"/>
      </rPr>
      <t xml:space="preserve">qi </t>
    </r>
    <r>
      <rPr>
        <sz val="10"/>
        <color indexed="8"/>
        <rFont val="Times New Roman"/>
        <family val="1"/>
      </rPr>
      <t xml:space="preserve">(including medial </t>
    </r>
    <r>
      <rPr>
        <i/>
        <sz val="10"/>
        <color indexed="8"/>
        <rFont val="Times New Roman"/>
        <family val="1"/>
      </rPr>
      <t>qi</t>
    </r>
    <r>
      <rPr>
        <sz val="10"/>
        <color indexed="8"/>
        <rFont val="Times New Roman"/>
        <family val="1"/>
      </rPr>
      <t xml:space="preserve">) is </t>
    </r>
    <r>
      <rPr>
        <i/>
        <sz val="10"/>
        <color indexed="8"/>
        <rFont val="Times New Roman"/>
        <family val="1"/>
      </rPr>
      <t>nearest in time</t>
    </r>
    <r>
      <rPr>
        <sz val="10"/>
        <color indexed="8"/>
        <rFont val="Times New Roman"/>
        <family val="1"/>
      </rPr>
      <t xml:space="preserve">, which makes astronomical sense, but that this interpretation would put us at variance with contemporary norms of chronometry: normally, one changed the day/night-length "arrows" of the clepsydra at the change of the </t>
    </r>
    <r>
      <rPr>
        <i/>
        <sz val="10"/>
        <color indexed="8"/>
        <rFont val="Times New Roman"/>
        <family val="1"/>
      </rPr>
      <t>qi</t>
    </r>
    <r>
      <rPr>
        <sz val="10"/>
        <color indexed="8"/>
        <rFont val="Times New Roman"/>
        <family val="1"/>
      </rPr>
      <t xml:space="preserve">. Either way, in order to cheat and automate the lookup of 「所近節氣」 and its corresponding night-length using methods not described in the base text, we will assign each phenomena with a </t>
    </r>
    <r>
      <rPr>
        <i/>
        <sz val="10"/>
        <color indexed="8"/>
        <rFont val="Times New Roman"/>
        <family val="1"/>
      </rPr>
      <t xml:space="preserve">cumulitive, non-sexeganary day count </t>
    </r>
    <r>
      <rPr>
        <sz val="10"/>
        <color indexed="8"/>
        <rFont val="Times New Roman"/>
        <family val="1"/>
      </rPr>
      <t>pegged to the preceeding winter solstice. This begins by finding the "epact" of the winter solstice as counted from the moment of 天正朔:</t>
    </r>
  </si>
  <si>
    <t>Month</t>
  </si>
  <si>
    <t>Day</t>
  </si>
  <si>
    <t>Size</t>
  </si>
  <si>
    <t>Sex. date</t>
  </si>
  <si>
    <t>前年十一月</t>
  </si>
  <si>
    <t>Qi:</t>
  </si>
  <si>
    <t>(epact)</t>
  </si>
  <si>
    <t>previous</t>
  </si>
  <si>
    <t>置其月節氣夜漏之數，…………………………………………………………………………………………………</t>
  </si>
  <si>
    <t>二百除之，得一分，即夜半到明所行分也。…………………………………………………………………………………………………</t>
  </si>
  <si>
    <r>
      <t xml:space="preserve">*While we can infer that 「其月節氣」 refers to the twenty-four </t>
    </r>
    <r>
      <rPr>
        <i/>
        <sz val="10"/>
        <color indexed="8"/>
        <rFont val="Times New Roman"/>
        <family val="1"/>
      </rPr>
      <t>qi</t>
    </r>
    <r>
      <rPr>
        <sz val="10"/>
        <color indexed="8"/>
        <rFont val="Times New Roman"/>
        <family val="1"/>
      </rPr>
      <t xml:space="preserve">, and not just the "nodal </t>
    </r>
    <r>
      <rPr>
        <i/>
        <sz val="10"/>
        <color indexed="8"/>
        <rFont val="Times New Roman"/>
        <family val="1"/>
      </rPr>
      <t>qi</t>
    </r>
    <r>
      <rPr>
        <sz val="10"/>
        <color indexed="8"/>
        <rFont val="Times New Roman"/>
        <family val="1"/>
      </rPr>
      <t xml:space="preserve">", as per the solar table below, the text does specify how to determine which is "its" 其. Normally, we would assume that this refers to the </t>
    </r>
    <r>
      <rPr>
        <i/>
        <sz val="10"/>
        <color indexed="8"/>
        <rFont val="Times New Roman"/>
        <family val="1"/>
      </rPr>
      <t>previous qi</t>
    </r>
    <r>
      <rPr>
        <sz val="10"/>
        <color indexed="8"/>
        <rFont val="Times New Roman"/>
        <family val="1"/>
      </rPr>
      <t xml:space="preserve">, at which time the day-night lengths are ajusted in civil chronometry, </t>
    </r>
    <r>
      <rPr>
        <i/>
        <sz val="10"/>
        <color indexed="8"/>
        <rFont val="Times New Roman"/>
        <family val="1"/>
      </rPr>
      <t>but</t>
    </r>
    <r>
      <rPr>
        <sz val="10"/>
        <color indexed="8"/>
        <rFont val="Times New Roman"/>
        <family val="1"/>
      </rPr>
      <t>, recal that in Procedure 3.10 we used instead  「所近節氣」as concerns counting lunar phases occuring prior to dawn as belonging to the night of the previous day. Here are our options:</t>
    </r>
  </si>
  <si>
    <r>
      <t xml:space="preserve">*Lastly, the solar table day-night lengths are given in 刻 </t>
    </r>
    <r>
      <rPr>
        <i/>
        <sz val="10"/>
        <color indexed="8"/>
        <rFont val="Times New Roman"/>
        <family val="1"/>
      </rPr>
      <t>and</t>
    </r>
    <r>
      <rPr>
        <sz val="10"/>
        <color indexed="8"/>
        <rFont val="Times New Roman"/>
        <family val="1"/>
      </rPr>
      <t xml:space="preserve"> 分, the use of the latter woud result in a decimal product and quotient in the following steps. This means that we need to choose whether to drop, round, or leave the 分.</t>
    </r>
  </si>
  <si>
    <t>刻分</t>
  </si>
  <si>
    <t>round</t>
  </si>
  <si>
    <t>00:00, New Moon Day:</t>
  </si>
  <si>
    <t>以增夜半日所在度分，為明所在度分也。…………………………………………………………………………………………………</t>
  </si>
  <si>
    <t>leave</t>
  </si>
  <si>
    <t>3.20</t>
  </si>
  <si>
    <t>求昬日所入度</t>
  </si>
  <si>
    <r>
      <t>以夜半到明日所行分減蔀法，</t>
    </r>
    <r>
      <rPr>
        <sz val="10"/>
        <color indexed="8"/>
        <rFont val="SimSun"/>
      </rPr>
      <t>其餘即夜半到昬所行分也。</t>
    </r>
    <r>
      <rPr>
        <sz val="10"/>
        <color indexed="8"/>
        <rFont val="Times New Roman"/>
        <family val="1"/>
      </rPr>
      <t>…………………………………………………………………………………………………</t>
    </r>
  </si>
  <si>
    <t>以加夜半所在度分，為昬日所在度也。…………………………………………………………………………………………………</t>
  </si>
  <si>
    <t>3.21</t>
  </si>
  <si>
    <t>推月明所入度分術</t>
  </si>
  <si>
    <t>§61</t>
  </si>
  <si>
    <t>§62</t>
  </si>
  <si>
    <t>*We will apply this to the same day and rounding rules selected in Procedure 3.19.</t>
  </si>
  <si>
    <t>置其節氣夜漏之數，…………………………………………………………………………………………………</t>
  </si>
  <si>
    <t>以二百除之，為積分。…………………………………………………………………………………………………</t>
  </si>
  <si>
    <t>積分滿蔀法得一，…………………………………………………………………………………………………</t>
  </si>
  <si>
    <t>*We look up the position of the moon at midnight, new moon day, of the month in question, then add the number of days out, as per Procedure 3.17:</t>
  </si>
  <si>
    <t>New Moon:</t>
  </si>
  <si>
    <t>日小餘</t>
  </si>
  <si>
    <t>*We look up the position of the sun at syzygy, then subtract the day remainder from the lodge position and add the number of days out, as per Procedure 3.15:</t>
  </si>
  <si>
    <t>(remainder dropped)</t>
  </si>
  <si>
    <t>以增夜半度，即月明所在度也。…………………………………………………………………………………………………</t>
  </si>
  <si>
    <t>*The following step does not specify whether we are also to add the "parts" remainder of the preceding division, though there is no reason not to.</t>
  </si>
  <si>
    <t>分</t>
  </si>
  <si>
    <t>3.22</t>
  </si>
  <si>
    <t>求昬月所入度</t>
  </si>
  <si>
    <t>§63</t>
  </si>
  <si>
    <t>以明積分減月周，…………………………………………………………………………………………………</t>
  </si>
  <si>
    <t>(dropped remainder)</t>
  </si>
  <si>
    <t>其餘滿蔀法得一度，…………………………………………………………………………………………………</t>
  </si>
  <si>
    <t>加夜半，則昬月所在度也。…………………………………………………………………………………………………</t>
  </si>
  <si>
    <t>*We will apply this to the same day and rounding rules selected in Procedures 3.19 and 3.21.</t>
  </si>
  <si>
    <t>3.23</t>
  </si>
  <si>
    <t>推弦、望日所入星度術</t>
  </si>
  <si>
    <t>§64</t>
  </si>
  <si>
    <t>Month:</t>
  </si>
  <si>
    <r>
      <t xml:space="preserve">*This step doesn't specify </t>
    </r>
    <r>
      <rPr>
        <i/>
        <sz val="10"/>
        <color indexed="8"/>
        <rFont val="Times New Roman"/>
        <family val="1"/>
      </rPr>
      <t>what day</t>
    </r>
    <r>
      <rPr>
        <sz val="10"/>
        <color indexed="8"/>
        <rFont val="Times New Roman"/>
        <family val="1"/>
      </rPr>
      <t xml:space="preserve">, and rather than compute a table covering </t>
    </r>
    <r>
      <rPr>
        <i/>
        <sz val="10"/>
        <color indexed="8"/>
        <rFont val="Times New Roman"/>
        <family val="1"/>
      </rPr>
      <t>every day</t>
    </r>
    <r>
      <rPr>
        <sz val="10"/>
        <color indexed="8"/>
        <rFont val="Times New Roman"/>
        <family val="1"/>
      </rPr>
      <t xml:space="preserve">of the calendar year, let us simply </t>
    </r>
    <r>
      <rPr>
        <i/>
        <sz val="10"/>
        <color indexed="8"/>
        <rFont val="Times New Roman"/>
        <family val="1"/>
      </rPr>
      <t>choose one</t>
    </r>
    <r>
      <rPr>
        <sz val="10"/>
        <color indexed="8"/>
        <rFont val="Times New Roman"/>
        <family val="1"/>
      </rPr>
      <t xml:space="preserve"> to work with:</t>
    </r>
  </si>
  <si>
    <t>加七度三百五十九分四分三，以宿次除之，即得上弦日所入宿度分也。…………………………………………………………………………………………………</t>
  </si>
  <si>
    <t>置合朔度分之數，…………………………………………………………………………………………………</t>
  </si>
  <si>
    <t>望：</t>
  </si>
  <si>
    <t>下弦：</t>
  </si>
  <si>
    <t>3.24</t>
  </si>
  <si>
    <t>推弦、望月所入星度術</t>
  </si>
  <si>
    <t>§65</t>
  </si>
  <si>
    <t>加除如前法，小分滿四從大分，大分滿蔀月從度。…………………………………………………………………………………………………</t>
  </si>
  <si>
    <t>求望、下弦，</t>
  </si>
  <si>
    <t>3.25</t>
  </si>
  <si>
    <t>§66</t>
  </si>
  <si>
    <r>
      <t xml:space="preserve">*Again, Procedures 3.23 to 3.26 don't specify </t>
    </r>
    <r>
      <rPr>
        <i/>
        <sz val="10"/>
        <color indexed="8"/>
        <rFont val="Times New Roman"/>
        <family val="1"/>
      </rPr>
      <t>what month</t>
    </r>
    <r>
      <rPr>
        <sz val="10"/>
        <color indexed="8"/>
        <rFont val="Times New Roman"/>
        <family val="1"/>
      </rPr>
      <t xml:space="preserve">, and rather than compute a table covering </t>
    </r>
    <r>
      <rPr>
        <i/>
        <sz val="10"/>
        <color indexed="8"/>
        <rFont val="Times New Roman"/>
        <family val="1"/>
      </rPr>
      <t>every month</t>
    </r>
    <r>
      <rPr>
        <sz val="10"/>
        <color indexed="8"/>
        <rFont val="Times New Roman"/>
        <family val="1"/>
      </rPr>
      <t xml:space="preserve"> of the calendar year, let us simply </t>
    </r>
    <r>
      <rPr>
        <i/>
        <sz val="10"/>
        <color indexed="8"/>
        <rFont val="Times New Roman"/>
        <family val="1"/>
      </rPr>
      <t>choose one</t>
    </r>
    <r>
      <rPr>
        <sz val="10"/>
        <color indexed="8"/>
        <rFont val="Times New Roman"/>
        <family val="1"/>
      </rPr>
      <t xml:space="preserve"> to work with:</t>
    </r>
  </si>
  <si>
    <t>置月合朔度分之數，…………………………………………………………………………………………………</t>
  </si>
  <si>
    <t>加度九十八，加分六百五十三半，以宿次除之，即上弦月所入宿度分也。…………………………………………………………………………………………………</t>
  </si>
  <si>
    <r>
      <t xml:space="preserve">*Here the moon has the potential of hopping past an entire lodge in one day, so for the purposes of automation and saving space, I will be cheating from here on down in using cumulative </t>
    </r>
    <r>
      <rPr>
        <i/>
        <sz val="10"/>
        <color indexed="8"/>
        <rFont val="Times New Roman"/>
        <family val="1"/>
      </rPr>
      <t>du</t>
    </r>
    <r>
      <rPr>
        <sz val="10"/>
        <color indexed="8"/>
        <rFont val="Times New Roman"/>
        <family val="1"/>
      </rPr>
      <t xml:space="preserve">counted from Dipper – "Cum. </t>
    </r>
    <r>
      <rPr>
        <i/>
        <sz val="10"/>
        <color indexed="8"/>
        <rFont val="Times New Roman"/>
        <family val="1"/>
      </rPr>
      <t>du</t>
    </r>
    <r>
      <rPr>
        <sz val="10"/>
        <color indexed="8"/>
        <rFont val="Times New Roman"/>
        <family val="1"/>
      </rPr>
      <t xml:space="preserve">" – to swiftly add and subtract </t>
    </r>
    <r>
      <rPr>
        <i/>
        <sz val="10"/>
        <color indexed="8"/>
        <rFont val="Times New Roman"/>
        <family val="1"/>
      </rPr>
      <t>du</t>
    </r>
    <r>
      <rPr>
        <sz val="10"/>
        <color indexed="8"/>
        <rFont val="Times New Roman"/>
        <family val="1"/>
      </rPr>
      <t xml:space="preserve"> and </t>
    </r>
    <r>
      <rPr>
        <i/>
        <sz val="10"/>
        <color indexed="8"/>
        <rFont val="Times New Roman"/>
        <family val="1"/>
      </rPr>
      <t xml:space="preserve">fen </t>
    </r>
    <r>
      <rPr>
        <sz val="10"/>
        <color indexed="8"/>
        <rFont val="Times New Roman"/>
        <family val="1"/>
      </rPr>
      <t>from lodge-</t>
    </r>
    <r>
      <rPr>
        <i/>
        <sz val="10"/>
        <color indexed="8"/>
        <rFont val="Times New Roman"/>
        <family val="1"/>
      </rPr>
      <t>du</t>
    </r>
    <r>
      <rPr>
        <sz val="10"/>
        <color indexed="8"/>
        <rFont val="Times New Roman"/>
        <family val="1"/>
      </rPr>
      <t xml:space="preserve"> positions.</t>
    </r>
  </si>
  <si>
    <t>加除如前分，滿蔀月從度。…………………………………………………………………………………………………</t>
  </si>
  <si>
    <t>3.26</t>
  </si>
  <si>
    <t>§67</t>
  </si>
  <si>
    <t>Table 3: Eclipse era-finder cheat-sheet</t>
  </si>
  <si>
    <t>紀首：</t>
  </si>
  <si>
    <t>3.7</t>
  </si>
  <si>
    <t>以大周乘年，…………………………………………………………………………………………………</t>
  </si>
  <si>
    <t>*For a more detailed explanation, see Cullen, Foundations, pp. 157-159</t>
  </si>
  <si>
    <t>「年」=</t>
  </si>
  <si>
    <t>*This alternative procedure skips the step of turning accumulated days into a sexagenary date:</t>
  </si>
  <si>
    <t>mod 60:</t>
  </si>
  <si>
    <t>"name off" from origin or obscuration head, depending on the definition of 「年」 used:</t>
  </si>
  <si>
    <t>*This alternative procedure does not specify what it means by 「年」, which leaves us with three options:</t>
  </si>
  <si>
    <r>
      <t xml:space="preserve">*The chain of </t>
    </r>
    <r>
      <rPr>
        <i/>
        <sz val="10"/>
        <color indexed="8"/>
        <rFont val="Times New Roman"/>
        <family val="1"/>
      </rPr>
      <t xml:space="preserve">shu </t>
    </r>
    <r>
      <rPr>
        <sz val="10"/>
        <color indexed="8"/>
        <rFont val="Times New Roman"/>
        <family val="1"/>
      </rPr>
      <t xml:space="preserve">術 "procedure" algorithms to follow proceeds from a single variable: the "Distance from High Origin" 去上元 or "Since High Origin" 上元以來 </t>
    </r>
    <r>
      <rPr>
        <i/>
        <sz val="10"/>
        <color indexed="8"/>
        <rFont val="Times New Roman"/>
        <family val="1"/>
      </rPr>
      <t>as counted in years</t>
    </r>
    <r>
      <rPr>
        <sz val="10"/>
        <color indexed="8"/>
        <rFont val="Times New Roman"/>
        <family val="1"/>
      </rPr>
      <t xml:space="preserve">. Again, the first question one should ask is whether this number is to be understood as </t>
    </r>
    <r>
      <rPr>
        <i/>
        <sz val="10"/>
        <color indexed="8"/>
        <rFont val="Times New Roman"/>
        <family val="1"/>
      </rPr>
      <t xml:space="preserve">cardinal </t>
    </r>
    <r>
      <rPr>
        <sz val="10"/>
        <color indexed="8"/>
        <rFont val="Times New Roman"/>
        <family val="1"/>
      </rPr>
      <t xml:space="preserve">or </t>
    </r>
    <r>
      <rPr>
        <i/>
        <sz val="10"/>
        <color indexed="8"/>
        <rFont val="Times New Roman"/>
        <family val="1"/>
      </rPr>
      <t>ordinal</t>
    </r>
    <r>
      <rPr>
        <sz val="10"/>
        <color indexed="8"/>
        <rFont val="Times New Roman"/>
        <family val="1"/>
      </rPr>
      <t xml:space="preserve">, i.e. where "the </t>
    </r>
    <r>
      <rPr>
        <i/>
        <sz val="10"/>
        <color indexed="8"/>
        <rFont val="Times New Roman"/>
        <family val="1"/>
      </rPr>
      <t>x</t>
    </r>
    <r>
      <rPr>
        <sz val="10"/>
        <color indexed="8"/>
        <rFont val="Times New Roman"/>
        <family val="1"/>
      </rPr>
      <t>th year after" = "</t>
    </r>
    <r>
      <rPr>
        <i/>
        <sz val="10"/>
        <color indexed="8"/>
        <rFont val="Times New Roman"/>
        <family val="1"/>
      </rPr>
      <t xml:space="preserve">x </t>
    </r>
    <r>
      <rPr>
        <sz val="10"/>
        <color indexed="8"/>
        <rFont val="Times New Roman"/>
        <family val="1"/>
      </rPr>
      <t xml:space="preserve">– 1 years elapsed since", and the way to do that is to look whether the text systematically asks us to "diminish it by one" 減一 (to convert from ordinal to cardinal) or, rather, "count exclusively" 算外, "include the year sought" 盡所求年, etc., (to convert from cardinal to ordinal). As each time this value occurs below the first instruction is to "diminish it by one" 減一, we can deduce that it is </t>
    </r>
    <r>
      <rPr>
        <i/>
        <sz val="10"/>
        <color indexed="8"/>
        <rFont val="Times New Roman"/>
        <family val="1"/>
      </rPr>
      <t>ordinal</t>
    </r>
    <r>
      <rPr>
        <sz val="10"/>
        <color indexed="8"/>
        <rFont val="Times New Roman"/>
        <family val="1"/>
      </rPr>
      <t xml:space="preserve">. Here the </t>
    </r>
    <r>
      <rPr>
        <i/>
        <sz val="10"/>
        <color indexed="8"/>
        <rFont val="Times New Roman"/>
        <family val="1"/>
      </rPr>
      <t>Sifen li</t>
    </r>
    <r>
      <rPr>
        <sz val="10"/>
        <color indexed="8"/>
        <rFont val="Times New Roman"/>
        <family val="1"/>
      </rPr>
      <t xml:space="preserve"> as we have it is appears inconsistant, as Procedures 3.2, 3.5, 3.8, and 3.11 treat the value as </t>
    </r>
    <r>
      <rPr>
        <i/>
        <sz val="10"/>
        <color indexed="8"/>
        <rFont val="Times New Roman"/>
        <family val="1"/>
      </rPr>
      <t>cardinal</t>
    </r>
    <r>
      <rPr>
        <sz val="10"/>
        <color indexed="8"/>
        <rFont val="Times New Roman"/>
        <family val="1"/>
      </rPr>
      <t xml:space="preserve">, while Procedures 3.5, 3.8, 3.11 treat its unconverted product, "the year(s) [entered] into [the current] obscuration" 入蔀年 as </t>
    </r>
    <r>
      <rPr>
        <i/>
        <sz val="10"/>
        <color indexed="8"/>
        <rFont val="Times New Roman"/>
        <family val="1"/>
      </rPr>
      <t>ordinal</t>
    </r>
    <r>
      <rPr>
        <sz val="10"/>
        <color indexed="8"/>
        <rFont val="Times New Roman"/>
        <family val="1"/>
      </rPr>
      <t xml:space="preserve">. This is peculiar to the </t>
    </r>
    <r>
      <rPr>
        <i/>
        <sz val="10"/>
        <color indexed="8"/>
        <rFont val="Times New Roman"/>
        <family val="1"/>
      </rPr>
      <t>Sifen li</t>
    </r>
    <r>
      <rPr>
        <sz val="10"/>
        <color indexed="8"/>
        <rFont val="Times New Roman"/>
        <family val="1"/>
      </rPr>
      <t xml:space="preserve">, and it might well be the product of textual corruption, so to tinker with the text as little as possible we will assume that the 入蔀年, below, implies an implicit conversion from cardinal to ordinal years. </t>
    </r>
  </si>
  <si>
    <r>
      <t xml:space="preserve">*Note that reading 「年」as 「入蔀年」 either requires a </t>
    </r>
    <r>
      <rPr>
        <i/>
        <sz val="10"/>
        <color indexed="8"/>
        <rFont val="Times New Roman"/>
        <family val="1"/>
      </rPr>
      <t xml:space="preserve">cardinal </t>
    </r>
    <r>
      <rPr>
        <sz val="10"/>
        <color indexed="8"/>
        <rFont val="Times New Roman"/>
        <family val="1"/>
        <charset val="134"/>
      </rPr>
      <t xml:space="preserve">definition of that value, which is at odds with the way Procedures 3.2, 3.5, 3.8, and 3.11 treat it as </t>
    </r>
    <r>
      <rPr>
        <i/>
        <sz val="10"/>
        <color indexed="8"/>
        <rFont val="Times New Roman"/>
        <family val="1"/>
      </rPr>
      <t>ordinal</t>
    </r>
    <r>
      <rPr>
        <sz val="10"/>
        <color indexed="8"/>
        <rFont val="Times New Roman"/>
        <family val="1"/>
        <charset val="134"/>
      </rPr>
      <t>, or the performance of an implicit conversion. This is potentially confusing for the user.</t>
    </r>
  </si>
  <si>
    <t>The remaining values 沒數、通法、沒法 are used in a bit of potentially divination- or nurelated thing that is dealt with in Section 3.11.</t>
  </si>
  <si>
    <r>
      <t xml:space="preserve">*This section is devoted to a weird bit of </t>
    </r>
    <r>
      <rPr>
        <i/>
        <sz val="10"/>
        <color indexed="8"/>
        <rFont val="Times New Roman"/>
        <family val="1"/>
      </rPr>
      <t>li</t>
    </r>
    <r>
      <rPr>
        <sz val="10"/>
        <color indexed="8"/>
        <rFont val="Times New Roman"/>
        <family val="1"/>
      </rPr>
      <t xml:space="preserve"> trivia that doesn't figure into subsequent calculations. For an explanation, see Cullen (2017) </t>
    </r>
    <r>
      <rPr>
        <i/>
        <sz val="10"/>
        <color indexed="8"/>
        <rFont val="Times New Roman"/>
        <family val="1"/>
      </rPr>
      <t>Foundations</t>
    </r>
    <r>
      <rPr>
        <sz val="10"/>
        <color indexed="8"/>
        <rFont val="Times New Roman"/>
        <family val="1"/>
      </rPr>
      <t xml:space="preserve">, pp. 170–172, and Martzloff (2009) </t>
    </r>
    <r>
      <rPr>
        <i/>
        <sz val="10"/>
        <color indexed="8"/>
        <rFont val="Times New Roman"/>
        <family val="1"/>
      </rPr>
      <t>Le calendrier chinois</t>
    </r>
    <r>
      <rPr>
        <sz val="10"/>
        <color indexed="8"/>
        <rFont val="Times New Roman"/>
        <family val="1"/>
      </rPr>
      <t>, 221–240.</t>
    </r>
  </si>
  <si>
    <t>3.12</t>
  </si>
  <si>
    <t>以十五乘冬至小餘，…………………………………………………………………………………………………</t>
  </si>
  <si>
    <t>以減通法，…………………………………………………………………………………………………</t>
  </si>
  <si>
    <t>餘滿沒法得一，則天正後沒也。…………………………………………………………………………………………………</t>
  </si>
  <si>
    <t>*This alternative procedure skips the steps of converting this last value into a sexagenary date:</t>
  </si>
  <si>
    <t>add to date of winter solstice:</t>
  </si>
  <si>
    <t>3.27</t>
  </si>
  <si>
    <t>推月食術曰：</t>
  </si>
  <si>
    <t>置入蔀會年數，減一，…………………………………………………………………………………………………</t>
  </si>
  <si>
    <t>不減一</t>
  </si>
  <si>
    <t>以食數乘之，…………………………………………………………………………………………………</t>
  </si>
  <si>
    <t>滿歲數得一，名曰積食，不滿為食餘。…………………………………………………………………………………………………</t>
  </si>
  <si>
    <t>以月數乘積食，…………………………………………………………………………………………………</t>
  </si>
  <si>
    <t>滿食法得一，名為積月，不滿為月餘分。…………………………………………………………………………………………………</t>
  </si>
  <si>
    <t>積月以章月除去之，其餘為入章月數。…………………………………………………………………………………………………</t>
  </si>
  <si>
    <t>§68</t>
  </si>
  <si>
    <t>§69</t>
  </si>
  <si>
    <t>當先除入章閏，…………………………………………………………………………………………………</t>
  </si>
  <si>
    <t>乃以十二除去之，…………………………………………………………………………………………………</t>
  </si>
  <si>
    <t>不滿者命以十一月，筭盡之外，則前年十一月前食月也。…………………………………………………………………………………………………</t>
  </si>
  <si>
    <t>3.28</t>
  </si>
  <si>
    <t>求入章閏者，</t>
  </si>
  <si>
    <t>*Oddly, note that you need to skip to Procedure 3.28 for the 「入章閏」.</t>
  </si>
  <si>
    <t>§70</t>
  </si>
  <si>
    <t>置入章月，…………………………………………………………………………………………………</t>
  </si>
  <si>
    <t>以章閏乘之，…………………………………………………………………………………………………</t>
  </si>
  <si>
    <t>滿章月得一，則入章閏數也。…………………………………………………………………………………………………</t>
  </si>
  <si>
    <t>餘分滿二百二十四以上至二百三十一，為食在閏月。…………………………………………………………………………………………………</t>
  </si>
  <si>
    <t>3.29</t>
  </si>
  <si>
    <t>§71</t>
  </si>
  <si>
    <t>求後食，</t>
  </si>
  <si>
    <t>§72</t>
  </si>
  <si>
    <r>
      <t xml:space="preserve">*Liu Hongtao (2003, 82) has us calculate this </t>
    </r>
    <r>
      <rPr>
        <i/>
        <sz val="10"/>
        <color indexed="8"/>
        <rFont val="Times New Roman"/>
        <family val="1"/>
      </rPr>
      <t xml:space="preserve">not </t>
    </r>
    <r>
      <rPr>
        <sz val="10"/>
        <color indexed="8"/>
        <rFont val="Times New Roman"/>
        <family val="1"/>
      </rPr>
      <t xml:space="preserve">from High Origin, but from </t>
    </r>
    <r>
      <rPr>
        <i/>
        <sz val="10"/>
        <color indexed="8"/>
        <rFont val="Times New Roman"/>
        <family val="1"/>
      </rPr>
      <t>the lower origin</t>
    </r>
    <r>
      <rPr>
        <sz val="10"/>
        <color indexed="8"/>
        <rFont val="Times New Roman"/>
        <family val="1"/>
      </rPr>
      <t xml:space="preserve">, which he does not explain. What shall </t>
    </r>
    <r>
      <rPr>
        <i/>
        <sz val="10"/>
        <color indexed="8"/>
        <rFont val="Times New Roman"/>
        <family val="1"/>
      </rPr>
      <t>we</t>
    </r>
    <r>
      <rPr>
        <sz val="10"/>
        <color indexed="8"/>
        <rFont val="Times New Roman"/>
        <family val="1"/>
      </rPr>
      <t xml:space="preserve"> use?</t>
    </r>
  </si>
  <si>
    <t>calculate from:</t>
  </si>
  <si>
    <t>漢高皇帝受命四十有五歲</t>
  </si>
  <si>
    <t>Result:</t>
  </si>
  <si>
    <t>加五月二十分，滿法得一月數，…………………………………………………………………………………………………</t>
  </si>
  <si>
    <t>積月以章月除去之，其餘為入章月數：</t>
  </si>
  <si>
    <t>命之如法，</t>
  </si>
  <si>
    <t>滿章月得一，則入章閏數也：</t>
  </si>
  <si>
    <t>餘分滿二百二十四以上至二百三十一，為食在閏月</t>
  </si>
  <si>
    <t>以章閏乘之：</t>
  </si>
  <si>
    <t>當先除入章閏：</t>
  </si>
  <si>
    <t>乃以十二除去之：</t>
  </si>
  <si>
    <t>不滿者命以十一月，筭盡之外，則前年十一月前食月也：</t>
  </si>
  <si>
    <t>其分盡食筭上。…………………………………………………………………………………………………</t>
  </si>
  <si>
    <t>積月：</t>
  </si>
  <si>
    <t>其分盡食筭上：</t>
  </si>
  <si>
    <t>積月</t>
  </si>
  <si>
    <t>Year</t>
  </si>
  <si>
    <t>3.30</t>
  </si>
  <si>
    <t>推月食朔日術曰</t>
  </si>
  <si>
    <t>§73</t>
  </si>
  <si>
    <t>置食積月之數，…………………………………………………………………………………………………</t>
  </si>
  <si>
    <t>以二十九乘之，為積日。…………………………………………………………………………………………………</t>
  </si>
  <si>
    <t>又以四百九十九乘積月，…………………………………………………………………………………………………</t>
  </si>
  <si>
    <t>滿蔀月得一，…………………………………………………………………………………………………</t>
  </si>
  <si>
    <t>以并積日，…………………………………………………………………………………………………</t>
  </si>
  <si>
    <t>以六十除之，…………………………………………………………………………………………………</t>
  </si>
  <si>
    <r>
      <t>其餘以所會蔀名命之，筭盡之外，則</t>
    </r>
    <r>
      <rPr>
        <sz val="10"/>
        <color indexed="8"/>
        <rFont val="Times New Roman"/>
        <family val="1"/>
      </rPr>
      <t>前年天正前食月朔日也。…………………………………………………………………………………………………</t>
    </r>
  </si>
  <si>
    <t>3.31</t>
  </si>
  <si>
    <t>求食日</t>
  </si>
  <si>
    <t>加大餘十四，小餘七百一十九半，小餘滿蔀月為大餘，…………………………………………………………………………………………………</t>
  </si>
  <si>
    <t>大餘命如前，則食日也。…………………………………………………………………………………………………</t>
  </si>
  <si>
    <t>§74</t>
  </si>
  <si>
    <t>求後食朔及日</t>
  </si>
  <si>
    <t>3.32</t>
  </si>
  <si>
    <t>皆加大餘二十七，小餘六百一十五。</t>
  </si>
  <si>
    <t>eclipse no.</t>
  </si>
  <si>
    <t>Parts</t>
  </si>
  <si>
    <t>NM day</t>
  </si>
  <si>
    <t>Ecl. Day</t>
  </si>
  <si>
    <t>月餘分</t>
  </si>
  <si>
    <r>
      <t xml:space="preserve">*The language here is somewhat difficult to parce, but it is clear from the numbers that what it means to say is that one adds 5 × 29 </t>
    </r>
    <r>
      <rPr>
        <sz val="8"/>
        <color indexed="8"/>
        <rFont val="Times New Roman"/>
        <family val="1"/>
      </rPr>
      <t>499/940</t>
    </r>
    <r>
      <rPr>
        <sz val="10"/>
        <color indexed="8"/>
        <rFont val="Times New Roman"/>
        <family val="1"/>
      </rPr>
      <t xml:space="preserve"> mod 60 = 27 </t>
    </r>
    <r>
      <rPr>
        <sz val="8"/>
        <color indexed="8"/>
        <rFont val="Times New Roman"/>
        <family val="1"/>
      </rPr>
      <t>615/940</t>
    </r>
    <r>
      <rPr>
        <sz val="10"/>
        <color indexed="8"/>
        <rFont val="Times New Roman"/>
        <family val="1"/>
      </rPr>
      <t xml:space="preserve"> days in the case of a five-month gap (where INT(積月+月餘分 + 5 </t>
    </r>
    <r>
      <rPr>
        <sz val="8"/>
        <color indexed="8"/>
        <rFont val="Times New Roman"/>
        <family val="1"/>
      </rPr>
      <t>20/23</t>
    </r>
    <r>
      <rPr>
        <sz val="10"/>
        <color indexed="8"/>
        <rFont val="Times New Roman"/>
        <family val="1"/>
      </rPr>
      <t xml:space="preserve">) = 5) and 6 × 29 </t>
    </r>
    <r>
      <rPr>
        <sz val="8"/>
        <color indexed="8"/>
        <rFont val="Times New Roman"/>
        <family val="1"/>
      </rPr>
      <t>499/940</t>
    </r>
    <r>
      <rPr>
        <sz val="10"/>
        <color indexed="8"/>
        <rFont val="Times New Roman"/>
        <family val="1"/>
      </rPr>
      <t xml:space="preserve"> mod 60 = 27 </t>
    </r>
    <r>
      <rPr>
        <sz val="8"/>
        <color indexed="8"/>
        <rFont val="Times New Roman"/>
        <family val="1"/>
      </rPr>
      <t>615/940</t>
    </r>
    <r>
      <rPr>
        <sz val="10"/>
        <color indexed="8"/>
        <rFont val="Times New Roman"/>
        <family val="1"/>
      </rPr>
      <t xml:space="preserve"> + 29 </t>
    </r>
    <r>
      <rPr>
        <sz val="8"/>
        <color indexed="8"/>
        <rFont val="Times New Roman"/>
        <family val="1"/>
      </rPr>
      <t>499/940</t>
    </r>
    <r>
      <rPr>
        <sz val="10"/>
        <color indexed="8"/>
        <rFont val="Times New Roman"/>
        <family val="1"/>
      </rPr>
      <t xml:space="preserve"> in case of a six-month-gap (where INT(積月+月餘分 + 5 20/23) = 6). If we were using astronomical months, we could just count the months, but these are civil months, and there might be intercalary months in the interval, so instead one must judge from the 月餘分: where if 月餘分 ≥ 3, adding the 5 </t>
    </r>
    <r>
      <rPr>
        <sz val="8"/>
        <color indexed="8"/>
        <rFont val="Times New Roman"/>
        <family val="1"/>
      </rPr>
      <t>20/23</t>
    </r>
    <r>
      <rPr>
        <sz val="10"/>
        <color indexed="8"/>
        <rFont val="Times New Roman"/>
        <family val="1"/>
      </rPr>
      <t xml:space="preserve"> month eclipse-month trips the parts over to 0. This is what the text </t>
    </r>
    <r>
      <rPr>
        <i/>
        <sz val="10"/>
        <color indexed="8"/>
        <rFont val="Times New Roman"/>
        <family val="1"/>
      </rPr>
      <t>must mean</t>
    </r>
    <r>
      <rPr>
        <sz val="10"/>
        <color indexed="8"/>
        <rFont val="Times New Roman"/>
        <family val="1"/>
      </rPr>
      <t>, even if it is difficult to read that on to it.</t>
    </r>
  </si>
  <si>
    <t>≥ 3</t>
  </si>
  <si>
    <t>己酉</t>
  </si>
  <si>
    <t>所求年太歲所在：</t>
  </si>
  <si>
    <t>Independant verification :</t>
  </si>
  <si>
    <t>* This step doesn't specify what you are adding this to, but we can deduce that it is the 「食積月」 based on the following instruction to "name it (i.e. the month) off as per the previous method" 命之如法, we can assume it is the 「食積月」.</t>
  </si>
  <si>
    <r>
      <t xml:space="preserve">*Note that the reason we are subtracting 1 from 「入蔀會年」 in this step is </t>
    </r>
    <r>
      <rPr>
        <i/>
        <sz val="10"/>
        <color indexed="8"/>
        <rFont val="Times New Roman"/>
        <family val="1"/>
      </rPr>
      <t xml:space="preserve">not </t>
    </r>
    <r>
      <rPr>
        <sz val="10"/>
        <color indexed="8"/>
        <rFont val="Times New Roman"/>
        <family val="1"/>
      </rPr>
      <t>to convert from ordinal to cardinal, but to calculate the eclipses for "the year prior to the prior [year's] month XI" 「前年十一月前」 (§70) . This is an enorous pain in the ass, so I give you the option of not doing that:</t>
    </r>
  </si>
  <si>
    <t>* Given the periodicity involved and the fact that the text wants us to start a year prior to the one that actually interests us, we need to repeat this:</t>
  </si>
  <si>
    <t>Start point</t>
  </si>
  <si>
    <t>Buhui head</t>
  </si>
  <si>
    <t>Rem.</t>
  </si>
  <si>
    <t>Verification</t>
  </si>
  <si>
    <t>3.33</t>
  </si>
  <si>
    <t>以歲數去上元，餘以為積月，…………………………………………………………………………………………………</t>
  </si>
  <si>
    <t>§75</t>
  </si>
  <si>
    <t>*Note that I am using the same Eclipse High Origin as selected in Procedure 3.3</t>
  </si>
  <si>
    <t>去上元：</t>
  </si>
  <si>
    <t>以百一十二乘之，…………………………………………………………………………………………………</t>
  </si>
  <si>
    <t>滿月數去之，…………………………………………………………………………………………………</t>
  </si>
  <si>
    <t>餘滿食法得一，則天正後食。…………………………………………………………………………………………………</t>
  </si>
  <si>
    <t>*I can't really get this alternative procedure to work, and I'm giving myself a headache. Go look at Liu Hongtao (2003, 85–87) and Cullen (2017, 184–185).</t>
  </si>
  <si>
    <t>3.34</t>
  </si>
  <si>
    <t>推諸加時</t>
  </si>
  <si>
    <t>*Please select an eclipse:</t>
  </si>
  <si>
    <t>Eclipse:</t>
  </si>
  <si>
    <t>以十二乘小餘，…………………………………………………………………………………………………</t>
  </si>
  <si>
    <t>先減如法之半，得一時，…………………………………………………………………………………………………</t>
  </si>
  <si>
    <t>其餘乃以法除之，…………………………………………………………………………………………………</t>
  </si>
  <si>
    <t>所得筭之數從夜半子起，筭盡之外，則所加時也。…………………………………………………………………………………………………</t>
  </si>
  <si>
    <t>§76</t>
  </si>
  <si>
    <t>3.35</t>
  </si>
  <si>
    <t>推諸上水漏刻</t>
  </si>
  <si>
    <t>§77</t>
  </si>
  <si>
    <t>§78</t>
  </si>
  <si>
    <t>以百乘其小餘，…………………………………………………………………………………………………</t>
  </si>
  <si>
    <t>滿其法得一刻；…………………………………………………………………………………………………</t>
  </si>
  <si>
    <t>不滿法什之，…………………………………………………………………………………………………</t>
  </si>
  <si>
    <t>滿法得一分。…………………………………………………………………………………………………</t>
  </si>
  <si>
    <r>
      <t xml:space="preserve">*Again, select which </t>
    </r>
    <r>
      <rPr>
        <i/>
        <sz val="10"/>
        <color indexed="8"/>
        <rFont val="Times New Roman"/>
        <family val="1"/>
      </rPr>
      <t>qi</t>
    </r>
    <r>
      <rPr>
        <sz val="10"/>
        <color indexed="8"/>
        <rFont val="Times New Roman"/>
        <family val="1"/>
      </rPr>
      <t xml:space="preserve"> we go with:</t>
    </r>
  </si>
  <si>
    <t>夜漏</t>
  </si>
  <si>
    <t>積刻先減所入節氣夜漏之半，其餘為晝上水之數。…………………………………………………………………………………………………</t>
  </si>
  <si>
    <t>所入節氣夜漏之半：</t>
  </si>
  <si>
    <t>過晝漏去之，餘為夜上水數。…………………………………………………………………………………………………</t>
  </si>
  <si>
    <t>Exceeds?</t>
  </si>
  <si>
    <t>其刻不滿夜漏半者，乃減之，餘為昨夜未盡，其弦望其日。…………………………………………………………………………………………………</t>
  </si>
  <si>
    <t>lookup 所入節氣夜漏：</t>
  </si>
  <si>
    <t>日餘，萬四千六百四十一。</t>
  </si>
  <si>
    <t>*This is an explanation of the origin of the following numbers. Here, in short, is what you need to know.</t>
  </si>
  <si>
    <t>Years:</t>
  </si>
  <si>
    <r>
      <t xml:space="preserve">Because a </t>
    </r>
    <r>
      <rPr>
        <i/>
        <sz val="10"/>
        <color indexed="8"/>
        <rFont val="Times New Roman"/>
        <family val="1"/>
      </rPr>
      <t>solar</t>
    </r>
    <r>
      <rPr>
        <sz val="10"/>
        <color indexed="8"/>
        <rFont val="Times New Roman"/>
        <family val="1"/>
      </rPr>
      <t xml:space="preserve"> "circuit" is, by definition, a solar year, this means that we can easily convert this resonance period into a synodic period – the period from conjunction to conjunction – as expressed in years, months, or days by multiplying and dividing by the luni-solar constants in the previous section. In the case of Jupiter, for example:</t>
    </r>
  </si>
  <si>
    <t>Months:</t>
  </si>
  <si>
    <t>Days:</t>
  </si>
  <si>
    <t>(expressed 合積月+月餘/月法)</t>
  </si>
  <si>
    <t>(not used)</t>
  </si>
  <si>
    <t>(mod 60, expressed 大餘+日餘/日度法)</t>
  </si>
  <si>
    <t>Each planet's constants are derived from a "resonance period" expressed in terms of a number of sun-planet conjunctions 合 – its 周率 – and the number of "circuits" made by the sun in that same time – its 日率. In the case of Jupiter, this is 4327:4725 (周率:日率). Where the inferior planets experience two types of conjunction, this "resonance period" is counted from inferior conjunction.</t>
  </si>
  <si>
    <t>Difference:</t>
  </si>
  <si>
    <r>
      <t>Du</t>
    </r>
    <r>
      <rPr>
        <sz val="10"/>
        <color indexed="8"/>
        <rFont val="Times New Roman"/>
        <family val="1"/>
      </rPr>
      <t xml:space="preserve"> travelled:</t>
    </r>
  </si>
  <si>
    <t>§79</t>
  </si>
  <si>
    <t>以章法乘周率為月法，章月乘日率，如月法，為積月月餘。</t>
  </si>
  <si>
    <t>§80</t>
  </si>
  <si>
    <t>以月之日乘積月，為朔大小餘。</t>
  </si>
  <si>
    <t>§81</t>
  </si>
  <si>
    <t>乘為入月日餘。</t>
  </si>
  <si>
    <t>§82</t>
  </si>
  <si>
    <t>以日法乘周率為日度法，</t>
  </si>
  <si>
    <t>§83</t>
  </si>
  <si>
    <t>以周率去日率，餘以乘周天，如日度法，為積度度餘也。</t>
  </si>
  <si>
    <t>§84</t>
  </si>
  <si>
    <t>§85</t>
  </si>
  <si>
    <r>
      <t xml:space="preserve">Du </t>
    </r>
    <r>
      <rPr>
        <sz val="10"/>
        <color indexed="8"/>
        <rFont val="Times New Roman"/>
        <family val="1"/>
      </rPr>
      <t>per synodic period:</t>
    </r>
  </si>
  <si>
    <r>
      <t xml:space="preserve">The difference between the number of conjunctions and solar circuits in one "resonance period" gives us the numberof circuits the </t>
    </r>
    <r>
      <rPr>
        <i/>
        <sz val="10"/>
        <color indexed="8"/>
        <rFont val="Times New Roman"/>
        <family val="1"/>
      </rPr>
      <t xml:space="preserve">planet itself </t>
    </r>
    <r>
      <rPr>
        <sz val="10"/>
        <color indexed="8"/>
        <rFont val="Times New Roman"/>
        <family val="1"/>
      </rPr>
      <t xml:space="preserve">makes in the time it takes to make as many solar circuits. multiplying this by the </t>
    </r>
    <r>
      <rPr>
        <i/>
        <sz val="10"/>
        <color indexed="8"/>
        <rFont val="Times New Roman"/>
        <family val="1"/>
      </rPr>
      <t xml:space="preserve">length </t>
    </r>
    <r>
      <rPr>
        <sz val="10"/>
        <color indexed="8"/>
        <rFont val="Times New Roman"/>
        <family val="1"/>
      </rPr>
      <t xml:space="preserve">of the solar circuit gives us the </t>
    </r>
    <r>
      <rPr>
        <i/>
        <sz val="10"/>
        <color indexed="8"/>
        <rFont val="Times New Roman"/>
        <family val="1"/>
      </rPr>
      <t xml:space="preserve">du </t>
    </r>
    <r>
      <rPr>
        <sz val="10"/>
        <color indexed="8"/>
        <rFont val="Times New Roman"/>
        <family val="1"/>
      </rPr>
      <t xml:space="preserve">travelled in as many revolutions, and dividing </t>
    </r>
    <r>
      <rPr>
        <i/>
        <sz val="10"/>
        <color indexed="8"/>
        <rFont val="Times New Roman"/>
        <family val="1"/>
      </rPr>
      <t xml:space="preserve">that </t>
    </r>
    <r>
      <rPr>
        <sz val="10"/>
        <color indexed="8"/>
        <rFont val="Times New Roman"/>
        <family val="1"/>
      </rPr>
      <t xml:space="preserve">by the number of conjunctions gives us the </t>
    </r>
    <r>
      <rPr>
        <i/>
        <sz val="10"/>
        <color indexed="8"/>
        <rFont val="Times New Roman"/>
        <family val="1"/>
      </rPr>
      <t xml:space="preserve">du </t>
    </r>
    <r>
      <rPr>
        <sz val="10"/>
        <color indexed="8"/>
        <rFont val="Times New Roman"/>
        <family val="1"/>
      </rPr>
      <t>travelled per synodic period. For Jupiter:</t>
    </r>
  </si>
  <si>
    <t>(expressed 積度+度餘/日度法)</t>
  </si>
  <si>
    <t>There is also 小餘、虛分、入月日</t>
  </si>
  <si>
    <t>入月日，十二。</t>
  </si>
  <si>
    <t>入月日，二十四。</t>
  </si>
  <si>
    <t>月法，十一萬七百七十。</t>
  </si>
  <si>
    <t>月餘，二十一萬七千六百六十三。</t>
  </si>
  <si>
    <t>虛分，四百四十一。</t>
  </si>
  <si>
    <t>入月日，二十八。</t>
  </si>
  <si>
    <t>日度法，四萬七千六百三十二。</t>
  </si>
  <si>
    <t>3.36</t>
  </si>
  <si>
    <t>3.37</t>
  </si>
  <si>
    <t>推五星術</t>
  </si>
  <si>
    <t>以周率乘之，…………………………………………………………………………………………………</t>
  </si>
  <si>
    <t>滿日率得一，名為積合；不盡名為合餘。…………………………………………………………………………………………………</t>
  </si>
  <si>
    <t>其不滿周率者反減之，餘為度分。…………………………………………………………………………………………………</t>
  </si>
  <si>
    <t>金、水積合奇為晨，偶為夕。……………………………………………………………………………………</t>
  </si>
  <si>
    <r>
      <t>合餘以周率除之，</t>
    </r>
    <r>
      <rPr>
        <sz val="10"/>
        <color indexed="8"/>
        <rFont val="Times New Roman"/>
        <family val="1"/>
      </rPr>
      <t>不得焉退歲；無所得，星合其年，得一合前年，二合前二年。…………………………………………………………………………………………………</t>
    </r>
  </si>
  <si>
    <t>3.38</t>
  </si>
  <si>
    <t>推星合月</t>
  </si>
  <si>
    <t>以合積月乘積合為小積，…………………………………………………………………………………………………</t>
  </si>
  <si>
    <t>又以月餘乘積合，…………………………………………………………………………………………………</t>
  </si>
  <si>
    <t>滿其月法得一，…………………………………………………………………………………………………</t>
  </si>
  <si>
    <t>從小積為積月，不盡為月餘。…………………………………………………………………………………………………</t>
  </si>
  <si>
    <t>積月滿紀月去之，餘為入紀月。…………………………………………………………………………………………………</t>
  </si>
  <si>
    <t>每以章閏乘之，…………………………………………………………………………………………………</t>
  </si>
  <si>
    <t>滿章月得一為閏；不盡為閏餘。…………………………………………………………………………………………………</t>
  </si>
  <si>
    <t>以閏減入紀月，…………………………………………………………………………………………………</t>
  </si>
  <si>
    <t>其餘以十二去之，餘為入歲月數，…………………………………………………………………………………………………</t>
  </si>
  <si>
    <t>從天正十一月起，筭外，星合所在之月也。…………………………………………………………………………………………………</t>
  </si>
  <si>
    <t>3.39</t>
  </si>
  <si>
    <r>
      <t>推朔日</t>
    </r>
    <r>
      <rPr>
        <sz val="10"/>
        <rFont val="SimSun"/>
      </rPr>
      <t/>
    </r>
  </si>
  <si>
    <t>以蔀日乘入紀月，…………………………………………………………………………………………………</t>
  </si>
  <si>
    <t>滿蔀月得一為積日，不盡為小餘。…………………………………………………………………………………………………</t>
  </si>
  <si>
    <t>命以甲子，筭外，星合月朔日。…………………………………………………………………………………………………</t>
  </si>
  <si>
    <t>積日滿六十去之，餘為大餘，…………………………………………………………………………………………………</t>
  </si>
  <si>
    <t>3.40</t>
  </si>
  <si>
    <t>推入月日</t>
  </si>
  <si>
    <t>以蔀日乘月餘，…………………………………………………………………………………………………</t>
  </si>
  <si>
    <t>以其月法乘朔小餘，…………………………………………………………………………………………………</t>
  </si>
  <si>
    <t>從之，…………………………………………………………………………………………………</t>
  </si>
  <si>
    <t>以四千四百六十五約之，…………………………………………………………………………………………………</t>
  </si>
  <si>
    <t>所得滿日度法得一，為入月日，不盡為日餘。…………………………………………………………………………………………………</t>
  </si>
  <si>
    <t>以朔命入月日，筭外，星合日也。…………………………………………………………………………………………………</t>
  </si>
  <si>
    <t>3.1</t>
  </si>
  <si>
    <t>曆數之生也，乃立儀、表，以校日景。景長則日遠，天度之端也。日發其端，周而為歲，然其景不復，四周千四百六十一日，而景復初，是則日行之終。以周除日，得三百六十五四分度之一，為歲之日數。日日行一度，亦為天度。</t>
  </si>
  <si>
    <t>察日月俱發度端，日行十九周，月行二百五十四周，復會于端，是則月行之終也。以日周除月周，得一歲周天之數。以日一周減之，餘十二十九分之七，則月行過周及日行之數也，為一歲之月。以除一歲日，為一月之數。月之餘分積滿其法，得一月，月成則其歲〔大〕。</t>
  </si>
  <si>
    <t>月（大）四時推移，故置十二中以定月位。有朔而無中者為閏月。中之始（日）〔曰〕節，與中為二十四氣。以除一歲日，為一氣之日數也。其分積而成日為沒，并歲氣之分，如法為一歲沒。沒分于終中，中終于冬至，冬至之分積如其法得一日，四歲而終。</t>
  </si>
  <si>
    <t>月分成閏，閏七而盡，其歲十九，名之曰章。章首分盡，四之俱終，名之曰蔀。以一歲日乘之，為蔀之日數也。以甲子命之，二十而復其初，是以二十蔀為紀。紀歲青龍未終，三終歲後復青龍為元。</t>
  </si>
  <si>
    <t>*For a long explanation of this complicated procedure, see iu Hongtao (2003, 92) and Cullen (2017, 202–203).</t>
  </si>
  <si>
    <t>3.41</t>
  </si>
  <si>
    <t>推合度</t>
  </si>
  <si>
    <t>以周天乘度分，…………………………………………………………………………………………………</t>
  </si>
  <si>
    <t>滿日度法得一為積度，不盡為度餘。…………………………………………………………………………………………………</t>
  </si>
  <si>
    <t>以斗二十一四分之一命度，筭外，星合所在度也。…………………………………………………………………………………………………</t>
  </si>
  <si>
    <r>
      <t xml:space="preserve">*You can't just add "parts" unless they have the same denominator, so either we have to simplify and round the big planetary parts into ¼ </t>
    </r>
    <r>
      <rPr>
        <i/>
        <sz val="10"/>
        <color indexed="8"/>
        <rFont val="Times New Roman"/>
        <family val="1"/>
      </rPr>
      <t>du</t>
    </r>
    <r>
      <rPr>
        <sz val="10"/>
        <color indexed="8"/>
        <rFont val="Times New Roman"/>
        <family val="1"/>
      </rPr>
      <t xml:space="preserve">, or we have to expand ¼ </t>
    </r>
    <r>
      <rPr>
        <i/>
        <sz val="10"/>
        <color indexed="8"/>
        <rFont val="Times New Roman"/>
        <family val="1"/>
      </rPr>
      <t>du</t>
    </r>
    <r>
      <rPr>
        <sz val="10"/>
        <color indexed="8"/>
        <rFont val="Times New Roman"/>
        <family val="1"/>
      </rPr>
      <t xml:space="preserve"> up to the appropriate scale. Please choose:</t>
    </r>
  </si>
  <si>
    <t>Total:</t>
  </si>
  <si>
    <t>Lodge:</t>
  </si>
  <si>
    <r>
      <t>Lodge-</t>
    </r>
    <r>
      <rPr>
        <i/>
        <sz val="10"/>
        <rFont val="Times New Roman"/>
        <family val="1"/>
      </rPr>
      <t>du</t>
    </r>
    <r>
      <rPr>
        <sz val="10"/>
        <rFont val="Times New Roman"/>
        <family val="1"/>
      </rPr>
      <t>:</t>
    </r>
  </si>
  <si>
    <t>Denominator:</t>
  </si>
  <si>
    <t>3.42</t>
  </si>
  <si>
    <t>一術</t>
  </si>
  <si>
    <t>加退歲一，…………………………………………………………………………………………………</t>
  </si>
  <si>
    <t>以減上元，…………………………………………………………………………………………………</t>
  </si>
  <si>
    <t>滿八十除去之，…………………………………………………………………………………………………</t>
  </si>
  <si>
    <t>餘以沒數乘之，…………………………………………………………………………………………………</t>
  </si>
  <si>
    <t>滿日法得一，為大餘，不盡為小餘。…………………………………………………………………………………………………</t>
  </si>
  <si>
    <t>以甲子命大餘，則星合歲天正冬至日也。…………………………………………………………………………………………………</t>
  </si>
  <si>
    <t>以周率乘小餘，…………………………………………………………………………………………………</t>
  </si>
  <si>
    <t>并度餘，……………………………………………………………………………………………………</t>
  </si>
  <si>
    <t>命以冬至。…………………………………………………………………………………………………</t>
  </si>
  <si>
    <t>餘滿日度法從度，即至後星合日數也，…………………………………………………………………………………………………</t>
  </si>
  <si>
    <t>其閏餘滿二百二十四以上，至二百三十一星合閏月。</t>
  </si>
  <si>
    <t>閏或進退，以朔制之。</t>
  </si>
  <si>
    <t>*Here, Liu Hongtao (2003, 93–94) specifies where Cullen (2017, 204–205) does not that to find "the number of days that planetary conjunction falls after [winter] solstice" 至後星合日數, one must also, logically, need to add the 積度. Who shall we follow?</t>
  </si>
  <si>
    <t>Liu Hongtao</t>
  </si>
  <si>
    <t>3.43</t>
  </si>
  <si>
    <t>求後合月</t>
  </si>
  <si>
    <t>加合積月於入歲月，…………………………………………………………………………………………………</t>
  </si>
  <si>
    <t>加月餘於月餘，…………………………………………………………………………………………………</t>
  </si>
  <si>
    <t>滿其月法得一，從入歲月。…………………………………………………………………………………………………</t>
  </si>
  <si>
    <r>
      <t xml:space="preserve">*This 'alternative procedure' doesn't explain what 度餘 in the following line refers to, or where you are supposed to get it. According to </t>
    </r>
    <r>
      <rPr>
        <b/>
        <sz val="10"/>
        <color indexed="8"/>
        <rFont val="Times New Roman"/>
        <family val="1"/>
      </rPr>
      <t>Liu Hongtao (2003, 93–94)</t>
    </r>
    <r>
      <rPr>
        <sz val="10"/>
        <color indexed="8"/>
        <rFont val="Times New Roman"/>
        <family val="1"/>
      </rPr>
      <t xml:space="preserve"> and </t>
    </r>
    <r>
      <rPr>
        <b/>
        <sz val="10"/>
        <color indexed="8"/>
        <rFont val="Times New Roman"/>
        <family val="1"/>
      </rPr>
      <t>Cullen (2017, 204–205)</t>
    </r>
    <r>
      <rPr>
        <sz val="10"/>
        <color indexed="8"/>
        <rFont val="Times New Roman"/>
        <family val="1"/>
      </rPr>
      <t>, 度餘 can refer to only "The fractional part of the angle moved by the sun from winter solstice to conjunction" (Cullen) as given in Procedure 3.41. Now, to calculate Procedure 3.41, we need the 度分 calculated in procedure 3.37:</t>
    </r>
  </si>
  <si>
    <t>置上元以來，盡所求年，…………………………………………………………………………………………………</t>
  </si>
  <si>
    <t>*Warning: using the wrong value here will calculate everything for the wrong year. How shall we understand this step?</t>
  </si>
  <si>
    <t>去上元年數+1</t>
  </si>
  <si>
    <r>
      <t xml:space="preserve">*Note that in having us 「加退歲一」, this "alternative procedure" would seem to have us calculating for the year prior to that which interests us. In the case that §154 above gives us a value of 0, the conjunction calculated in §154–162 occurs in the year sought (本年). In this case, to calculate the grade, speed, position, and visibility of a planet on a given day using Procedures </t>
    </r>
    <r>
      <rPr>
        <sz val="10"/>
        <color rgb="FFFF0000"/>
        <rFont val="Times New Roman"/>
        <family val="1"/>
      </rPr>
      <t>xx</t>
    </r>
    <r>
      <rPr>
        <sz val="10"/>
        <color indexed="8"/>
        <rFont val="Times New Roman"/>
        <family val="1"/>
      </rPr>
      <t xml:space="preserve"> below, we will need the conjunction </t>
    </r>
    <r>
      <rPr>
        <i/>
        <sz val="10"/>
        <color indexed="8"/>
        <rFont val="Times New Roman"/>
        <family val="1"/>
      </rPr>
      <t>prior</t>
    </r>
    <r>
      <rPr>
        <sz val="10"/>
        <color indexed="8"/>
        <rFont val="Times New Roman"/>
        <family val="1"/>
      </rPr>
      <t>, so I will stick with this interpretation so as to supplement the previous procedures and produce a complete table of conjunctions below.</t>
    </r>
  </si>
  <si>
    <r>
      <t xml:space="preserve">*Of course, if we want to know what </t>
    </r>
    <r>
      <rPr>
        <i/>
        <sz val="10"/>
        <color indexed="8"/>
        <rFont val="Times New Roman"/>
        <family val="1"/>
      </rPr>
      <t>month</t>
    </r>
    <r>
      <rPr>
        <sz val="10"/>
        <color indexed="8"/>
        <rFont val="Times New Roman"/>
        <family val="1"/>
      </rPr>
      <t xml:space="preserve"> this sexagenary date falls under, we have to go back to Procedure 4.38. </t>
    </r>
  </si>
  <si>
    <t>Lookup 積度、度餘…………………………………………………………………………………………………</t>
  </si>
  <si>
    <r>
      <t xml:space="preserve">*Likewise , if we want to know the </t>
    </r>
    <r>
      <rPr>
        <i/>
        <sz val="10"/>
        <color indexed="8"/>
        <rFont val="Times New Roman"/>
        <family val="1"/>
      </rPr>
      <t>position</t>
    </r>
    <r>
      <rPr>
        <sz val="10"/>
        <color indexed="8"/>
        <rFont val="Times New Roman"/>
        <family val="1"/>
      </rPr>
      <t>, we have to go back and finish Procedure 4.41, for which we will use our preference as concerns rounding vs big denominators selected above.</t>
    </r>
  </si>
  <si>
    <t>Choice:</t>
  </si>
  <si>
    <t>Value:</t>
  </si>
  <si>
    <t>+</t>
  </si>
  <si>
    <t>Lookup (inferior planets) evening/morning…………………………………………………………………………………………………</t>
  </si>
  <si>
    <t>n/a</t>
  </si>
  <si>
    <t/>
  </si>
  <si>
    <t>Lookup 閏、閏餘…………………………………………………………………………………………………</t>
  </si>
  <si>
    <t>Lookup 入歲月…………………………………………………………………………………………………</t>
  </si>
  <si>
    <t>Lookup 入紀月、月餘…………………………………………………………………………………………………</t>
  </si>
  <si>
    <t>入歲月滿十二去之，…………………………………………………………………………………………………</t>
  </si>
  <si>
    <t>*Please which procedure you would like to pick up from:</t>
  </si>
  <si>
    <t>Astronomical year of said conjunction…………………………………………………………………………………………………</t>
  </si>
  <si>
    <t>Lookup 積合、合餘</t>
  </si>
  <si>
    <t>Astronomical year:</t>
  </si>
  <si>
    <t>有閏計焉，餘命如前，筭外，後合月也。…………………………………………………………………………………………………</t>
  </si>
  <si>
    <t>= 閏月?</t>
  </si>
  <si>
    <r>
      <t>金、水加晨得夕，</t>
    </r>
    <r>
      <rPr>
        <sz val="10"/>
        <color indexed="8"/>
        <rFont val="Times New Roman"/>
        <family val="1"/>
      </rPr>
      <t>加夕得晨。…………………………………………………………………………………………………</t>
    </r>
  </si>
  <si>
    <t>求朔日</t>
  </si>
  <si>
    <t>3.44</t>
  </si>
  <si>
    <t>以大小餘加今所得：</t>
  </si>
  <si>
    <t>其月餘得一月者，又加大餘二十九，小餘四百九十九，…………………………………………………………………………………………………..</t>
  </si>
  <si>
    <t>小飾滿蔀月得一，加大餘，…………………………………………………………………………………………………..</t>
  </si>
  <si>
    <t>大餘命如前。…………………………………………………………………………………………………..</t>
  </si>
  <si>
    <t>求入月日</t>
  </si>
  <si>
    <t>3.45</t>
  </si>
  <si>
    <t>*This step would seem to presume that we have the 大餘 and 小餘 of new moon, astronomical month I. This is true of the year in question, but for previous and later years we need to go back and recalculate as per Procedure 3.6, which depends on Procedure 3.5, which depends on Procedure 3.2 (already recalculated in the previous procedure).</t>
  </si>
  <si>
    <t>Definition of:…………………………………………………………………………………………………</t>
  </si>
  <si>
    <t>+ years elapsed:</t>
  </si>
  <si>
    <t>(conversion to 去上元):</t>
  </si>
  <si>
    <t>上元以來，盡所求年:</t>
  </si>
  <si>
    <t>Beginning value:</t>
  </si>
  <si>
    <t>Months elapsed to month of next synodic period:</t>
  </si>
  <si>
    <t>End value:</t>
  </si>
  <si>
    <t>Number of intercalary months elapsed:</t>
  </si>
  <si>
    <t>*Not so fast. Before converting this last number into the civil calendar, we must determine (1) the number of intercalary months elapsed in said period and (2) whether the month upon which we land is intercalary. To do this, we can make use of the 「閏」 and 「閏餘」 values looked up from above, which represent the number of intercalary months elapsed since entry into the current era, the later in units of 章月 (235).</t>
  </si>
  <si>
    <t>Intercalations accumulated in said time (× 章閏/章月):</t>
  </si>
  <si>
    <t>Now we redo the last step of the procedure text:</t>
  </si>
  <si>
    <t>– elapsed intercalary months</t>
  </si>
  <si>
    <t>Months since last conjunction:</t>
  </si>
  <si>
    <t>除12:</t>
  </si>
  <si>
    <t>By normal "naming" rules, to convert the astronomical to civil calendar, that places us in:…………………………………………………………………………………………………</t>
  </si>
  <si>
    <r>
      <t xml:space="preserve">But is </t>
    </r>
    <r>
      <rPr>
        <i/>
        <sz val="10"/>
        <color indexed="8"/>
        <rFont val="Times New Roman"/>
        <family val="1"/>
      </rPr>
      <t>this month</t>
    </r>
    <r>
      <rPr>
        <sz val="10"/>
        <color indexed="8"/>
        <rFont val="Times New Roman"/>
        <family val="1"/>
      </rPr>
      <t xml:space="preserve"> intercalary? To answer that, we can go back to Procedure 3.9 with said year (Proceedure 3.9 needing a value for 閏餘 calculated in Procedure 3.5, which needs a value for 入蔀年 calculated in Procedure 3.2).</t>
    </r>
  </si>
  <si>
    <t>Lookup conjunction-specific 「上元以來，盡所求年」…………………………………………………………………………………………………</t>
  </si>
  <si>
    <r>
      <t xml:space="preserve">*Also, to determine the number of months we shall count as having elapsed </t>
    </r>
    <r>
      <rPr>
        <i/>
        <sz val="10"/>
        <color indexed="8"/>
        <rFont val="Times New Roman"/>
        <family val="1"/>
      </rPr>
      <t>from this date</t>
    </r>
    <r>
      <rPr>
        <sz val="10"/>
        <color indexed="8"/>
        <rFont val="Times New Roman"/>
        <family val="1"/>
      </rPr>
      <t xml:space="preserve">, we need to distinguish those intercallary months in our previous count that fell </t>
    </r>
    <r>
      <rPr>
        <i/>
        <sz val="10"/>
        <color indexed="8"/>
        <rFont val="Times New Roman"/>
        <family val="1"/>
      </rPr>
      <t xml:space="preserve">before the year of conjunction </t>
    </r>
    <r>
      <rPr>
        <sz val="10"/>
        <color indexed="8"/>
        <rFont val="Times New Roman"/>
        <family val="1"/>
      </rPr>
      <t xml:space="preserve">from those that fell </t>
    </r>
    <r>
      <rPr>
        <i/>
        <sz val="10"/>
        <color indexed="8"/>
        <rFont val="Times New Roman"/>
        <family val="1"/>
      </rPr>
      <t>between astronomical month I of that year and the month of conjunction</t>
    </r>
    <r>
      <rPr>
        <sz val="10"/>
        <color indexed="8"/>
        <rFont val="Times New Roman"/>
        <family val="1"/>
      </rPr>
      <t>.</t>
    </r>
  </si>
  <si>
    <t>How many intercalations between conjunctions?</t>
  </si>
  <si>
    <t>Did one fall between month I and conjunction?</t>
  </si>
  <si>
    <t>In the previous year(s), that leaves:</t>
  </si>
  <si>
    <t>Lookup 蔀名…………………………………………………………………………………………………..</t>
  </si>
  <si>
    <t>Corrected 入歲月:</t>
  </si>
  <si>
    <t>(DPM: Liu Hongtao is right)</t>
  </si>
  <si>
    <t>入蔀年減一</t>
  </si>
  <si>
    <t>(DPM: 「入蔀年減一」 is right.)</t>
  </si>
  <si>
    <t>(DPM: it doesn't matter)</t>
  </si>
  <si>
    <t>(DPM: 「去上元年數+1」 is right).</t>
  </si>
  <si>
    <t>其前合月朔小餘滿其虛分者，空加一日。日滿月先去二十九，其後合月朔小餘不滿四百九十九，又減一日，其餘命如前。</t>
  </si>
  <si>
    <t>We are calculating from:</t>
  </si>
  <si>
    <t>We understand 「入月日」 and 「日餘」 in sense:</t>
  </si>
  <si>
    <t>(2)</t>
  </si>
  <si>
    <r>
      <t xml:space="preserve">*The point of this procedure is to find the date and time of conjunction. It is very vague. The 「入月日」 and 「日餘」 can stand for two different things: (1) the number of days "entered" into the current lunation, counted from the moment of syzygy, as calculated in the in Procedure 3.40; or (2) the fixed values given in the list of planetary constants in Procedure 3.36, which represents the planet's synodic period in days, mod 60. What 「加今所得」 implies is much more complicated, because the two types of 「入月日」 and 「日餘」 are added to very different things in the "main procedures" in Procedures 3.37–40 and the "alternative procedure" in Procedure 3.42. In Procedure 3.40, we use sense 1, and we effectively add these to the 大餘 and 小餘 (which give the date and time) of that month's syzygy. </t>
    </r>
    <r>
      <rPr>
        <i/>
        <sz val="10"/>
        <color indexed="8"/>
        <rFont val="Times New Roman"/>
        <family val="1"/>
      </rPr>
      <t>Those values</t>
    </r>
    <r>
      <rPr>
        <sz val="10"/>
        <color indexed="8"/>
        <rFont val="Times New Roman"/>
        <family val="1"/>
      </rPr>
      <t xml:space="preserve"> are given in 蔀月, whereas the 「入月日」 and 「日餘」 are in units of 日度法, so in order to add these values we must actually go back to some prior values to perform a rather roundabout conversion. In Procedure 3.40, however, we find the date of conjunction by "naming off" the days elapsed from the 大餘 and 小餘 </t>
    </r>
    <r>
      <rPr>
        <i/>
        <sz val="10"/>
        <color indexed="8"/>
        <rFont val="Times New Roman"/>
        <family val="1"/>
      </rPr>
      <t>of</t>
    </r>
    <r>
      <rPr>
        <sz val="10"/>
        <color indexed="8"/>
        <rFont val="Times New Roman"/>
        <family val="1"/>
      </rPr>
      <t xml:space="preserve"> </t>
    </r>
    <r>
      <rPr>
        <i/>
        <sz val="10"/>
        <color indexed="8"/>
        <rFont val="Times New Roman"/>
        <family val="1"/>
      </rPr>
      <t>winter solstice</t>
    </r>
    <r>
      <rPr>
        <sz val="10"/>
        <color indexed="8"/>
        <rFont val="Times New Roman"/>
        <family val="1"/>
      </rPr>
      <t xml:space="preserve">. </t>
    </r>
  </si>
  <si>
    <t>Lookup:</t>
  </si>
  <si>
    <t>We understand 「今所得」 to mean:</t>
  </si>
  <si>
    <t>the result of the last procedure, §166</t>
  </si>
  <si>
    <t>)</t>
  </si>
  <si>
    <t>(which is:</t>
  </si>
  <si>
    <t>Procedure 3.42</t>
  </si>
  <si>
    <t>以入月日日餘加今所得：…………………………………………………………………………………………………..</t>
  </si>
  <si>
    <t>(日餘 units:</t>
  </si>
  <si>
    <t>(所得 units:</t>
  </si>
  <si>
    <t>日度法)</t>
  </si>
  <si>
    <t>We'll need to convert!</t>
  </si>
  <si>
    <t>Might the remainder-fractions be in different units?</t>
  </si>
  <si>
    <t>If so, then………………………………………………………………………</t>
  </si>
  <si>
    <r>
      <rPr>
        <i/>
        <sz val="10"/>
        <color indexed="8"/>
        <rFont val="Times New Roman"/>
        <family val="1"/>
      </rPr>
      <t>If</t>
    </r>
    <r>
      <rPr>
        <sz val="10"/>
        <color indexed="8"/>
        <rFont val="Times New Roman"/>
        <family val="1"/>
      </rPr>
      <t xml:space="preserve"> we need/decide to convert 「今所得」, how shall we do that?</t>
    </r>
  </si>
  <si>
    <r>
      <t>If</t>
    </r>
    <r>
      <rPr>
        <sz val="10"/>
        <color indexed="8"/>
        <rFont val="Times New Roman"/>
        <family val="1"/>
      </rPr>
      <t xml:space="preserve"> by simple rule of three, do we round or drop the resulting remainder?</t>
    </r>
  </si>
  <si>
    <r>
      <t>If</t>
    </r>
    <r>
      <rPr>
        <sz val="10"/>
        <color indexed="8"/>
        <rFont val="Times New Roman"/>
        <family val="1"/>
      </rPr>
      <t xml:space="preserve"> we go back to the correct procedure, 3.40, we need to actually start again at 3.37.</t>
    </r>
  </si>
  <si>
    <t>Skip the next two steps</t>
  </si>
  <si>
    <t>(</t>
  </si>
  <si>
    <t>By iteration</t>
  </si>
  <si>
    <t>餘滿日度法得一，從日。…………………………………………………………………………………………………..</t>
  </si>
  <si>
    <r>
      <t>木，晨伏，十六日七千三百二十分半，</t>
    </r>
    <r>
      <rPr>
        <sz val="10"/>
        <color indexed="8"/>
        <rFont val="SimSun"/>
      </rPr>
      <t>行二度萬三千八百一十一分，在日後十三度有奇，而見東方。見順，日行五十八分度之十一，五十八日行十一度，微遟，日行九分，五十八日行九度。留不行，二十五日。旋逆，日行七分度之一，八十四日退十二度。</t>
    </r>
    <r>
      <rPr>
        <sz val="10"/>
        <color indexed="8"/>
        <rFont val="SimSun"/>
      </rPr>
      <t>復留，二十五日。復順，五十八日行九度，又五十八日行十一度，在日前十三度有奇，而夕伏西方。除伏逆，一見三百六十六日，行二十八度。伏復十六日七千三百二十分半，</t>
    </r>
    <r>
      <rPr>
        <sz val="10"/>
        <color indexed="8"/>
        <rFont val="SimSun"/>
      </rPr>
      <t>行二度萬三千八百一十一分，而與日合。凡一終，三百九十八日有萬四千六百四十一分，行星三十三度與萬三百一十四分，</t>
    </r>
    <r>
      <rPr>
        <sz val="10"/>
        <color indexed="8"/>
        <rFont val="SimSun"/>
      </rPr>
      <t>通率日行四千七百二十五分之三百九十八。</t>
    </r>
  </si>
  <si>
    <r>
      <t>火，晨伏，七十一日二千六百九十四分，行五十五度二千二百五十四分半，在日後十六</t>
    </r>
    <r>
      <rPr>
        <sz val="10"/>
        <color indexed="8"/>
        <rFont val="SimSun"/>
      </rPr>
      <t>度有奇，而見東方。見順，日行二十三分度之十四，百八十四日行百一十二度。</t>
    </r>
    <r>
      <rPr>
        <sz val="10"/>
        <color indexed="8"/>
        <rFont val="SimSun"/>
      </rPr>
      <t>微遟，日行十二分，九十二日行四十八度。留不行，十一日。旋逆，日行六十二分度之十七，六十二日退十七度。復留，十一日。復順，九十二日，行四十八度，又百八十四日行百一十二度，在日前十六度有奇，而夕伏西方。除伏逆，一見六百三十六日，行三百三度。</t>
    </r>
    <r>
      <rPr>
        <sz val="10"/>
        <color indexed="8"/>
        <rFont val="SimSun"/>
      </rPr>
      <t>伏復，七十一日二千六百九十四分，行五十五度二千二百五十四分半，而與日合。凡一終，七百七十九日有千八百七十二分，行星四百一十四度與九百九十三分。通率日行千八百七十六分之九百九十七。</t>
    </r>
  </si>
  <si>
    <r>
      <t>土，晨伏，十九日千八十一分半，行三度萬四千七百二十五分半，在日後十五度有奇，而見東方。見順，日行四十三分度之三，八十六日行六度。留不行，三十三日。旋逆，日行十七分度之一，百二日退六度。復留，三十三日。復順，八十六日，行六度，在日前十五度有奇，而夕伏西方。除伏逆，一見三百四十日，</t>
    </r>
    <r>
      <rPr>
        <sz val="10"/>
        <color indexed="8"/>
        <rFont val="SimSun"/>
      </rPr>
      <t>行六度。伏復，十九日千八十一分半，行三度萬四千七百二十五分半，與日合。凡一終，三百七十八日有二千一百六十三分，行星十二度與二萬九千四百五十一分。通率日行九千四百一十五分之三百一十九。</t>
    </r>
  </si>
  <si>
    <r>
      <t>金，晨伏，五日，退四度，在日後九度，而見東方。見逆，日行五分度之三，十日，退六度。留不行，八日。旋順，</t>
    </r>
    <r>
      <rPr>
        <sz val="10"/>
        <color indexed="8"/>
        <rFont val="SimSun"/>
      </rPr>
      <t>日行四十六分度之三十三，</t>
    </r>
    <r>
      <rPr>
        <sz val="10"/>
        <color indexed="8"/>
        <rFont val="SimSun"/>
      </rPr>
      <t>四十六日行三十三度。而疾，日行一度九十一分度之十五，</t>
    </r>
    <r>
      <rPr>
        <sz val="10"/>
        <color indexed="8"/>
        <rFont val="SimSun"/>
      </rPr>
      <t>九十一日行百六度。益疾，日行一度二十二分，九十一日行百一十三度，在日後九度，而晨伏東方。除伏逆，一見二百四十六日，行二百四十六度。伏四十一日二百八十一分，行五十度二百八十一分，而與日合。一合二百九十二日二百八十一分，</t>
    </r>
    <r>
      <rPr>
        <sz val="10"/>
        <color indexed="8"/>
        <rFont val="SimSun"/>
      </rPr>
      <t>行星如之。</t>
    </r>
  </si>
  <si>
    <r>
      <t>金，夕伏，四十一日二百八十一分，行五十度二百八十一分，在日前九度，而見西方。見順，疾，日行一度九十一分度之二十二，九十一日行百一十三度。微遟，日行一度十五分，九十一日行百六度。而遟，</t>
    </r>
    <r>
      <rPr>
        <sz val="10"/>
        <color indexed="8"/>
        <rFont val="SimSun"/>
      </rPr>
      <t>日行四十六分度之三十三，四十六日行三十三度。留不行，八日。旋逆，日行五分度之三，十日退六度，在日前九度，而夕伏西方。除伏逆，一見二百四十六日，行二百四十六度，伏五日，退四度而復合。</t>
    </r>
    <r>
      <rPr>
        <sz val="10"/>
        <color indexed="8"/>
        <rFont val="SimSun"/>
      </rPr>
      <t>凡（三）再合一終，</t>
    </r>
    <r>
      <rPr>
        <sz val="10"/>
        <color indexed="8"/>
        <rFont val="SimSun"/>
      </rPr>
      <t>五百八十四日有五百六十二分，行星如之。通率日行一度。</t>
    </r>
  </si>
  <si>
    <r>
      <t>水，</t>
    </r>
    <r>
      <rPr>
        <b/>
        <sz val="10"/>
        <rFont val="SimSun"/>
      </rPr>
      <t>夕伏</t>
    </r>
    <r>
      <rPr>
        <sz val="10"/>
        <rFont val="SimSun"/>
      </rPr>
      <t>，十六日四萬四千八百五分，行三十二度四萬四千八百五分，在日前十六度，而</t>
    </r>
    <r>
      <rPr>
        <sz val="10"/>
        <color indexed="8"/>
        <rFont val="SimSun"/>
      </rPr>
      <t>見西方。</t>
    </r>
    <r>
      <rPr>
        <b/>
        <sz val="10"/>
        <color indexed="8"/>
        <rFont val="SimSun"/>
      </rPr>
      <t>見順，疾</t>
    </r>
    <r>
      <rPr>
        <sz val="10"/>
        <color indexed="8"/>
        <rFont val="SimSun"/>
      </rPr>
      <t>，日行一度四分度之一，二十日行二十五度。</t>
    </r>
    <r>
      <rPr>
        <b/>
        <sz val="10"/>
        <color indexed="8"/>
        <rFont val="SimSun"/>
      </rPr>
      <t>而遟</t>
    </r>
    <r>
      <rPr>
        <sz val="10"/>
        <color indexed="8"/>
        <rFont val="SimSun"/>
      </rPr>
      <t>，日行九分度之八，九日行八度。</t>
    </r>
    <r>
      <rPr>
        <b/>
        <sz val="10"/>
        <color indexed="8"/>
        <rFont val="SimSun"/>
      </rPr>
      <t>留不行</t>
    </r>
    <r>
      <rPr>
        <sz val="10"/>
        <color indexed="8"/>
        <rFont val="SimSun"/>
      </rPr>
      <t>，二日。</t>
    </r>
    <r>
      <rPr>
        <b/>
        <sz val="10"/>
        <color indexed="8"/>
        <rFont val="SimSun"/>
      </rPr>
      <t>旋逆</t>
    </r>
    <r>
      <rPr>
        <sz val="10"/>
        <color indexed="8"/>
        <rFont val="SimSun"/>
      </rPr>
      <t>，</t>
    </r>
    <r>
      <rPr>
        <sz val="10"/>
        <color indexed="8"/>
        <rFont val="SimSun"/>
      </rPr>
      <t>一日退一度，在日前十六度，而</t>
    </r>
    <r>
      <rPr>
        <b/>
        <sz val="10"/>
        <color indexed="8"/>
        <rFont val="SimSun"/>
      </rPr>
      <t>夕伏</t>
    </r>
    <r>
      <rPr>
        <sz val="10"/>
        <color indexed="8"/>
        <rFont val="SimSun"/>
      </rPr>
      <t>西方。除伏逆，一見三十二日，行三十二度，</t>
    </r>
    <r>
      <rPr>
        <b/>
        <sz val="10"/>
        <color indexed="8"/>
        <rFont val="SimSun"/>
      </rPr>
      <t>伏</t>
    </r>
    <r>
      <rPr>
        <sz val="10"/>
        <color indexed="8"/>
        <rFont val="SimSun"/>
      </rPr>
      <t>九日，退七度而復合。凡再合一終，百一十五日有四萬一千九百七十八分，行星如之。通率日行一度。</t>
    </r>
  </si>
  <si>
    <t xml:space="preserve">*OK, I'm getting f*ing tired of this by this point, so I'm going to cheat and produce a complete table of planetary conjunctions using other methods on the sheet 'Planetary Tables' for the purposes of the following calculations. Sorry. </t>
  </si>
  <si>
    <t>積合</t>
  </si>
  <si>
    <t>合餘</t>
  </si>
  <si>
    <t>度分</t>
  </si>
  <si>
    <t>入紀月</t>
  </si>
  <si>
    <t>閏餘</t>
  </si>
  <si>
    <t>閏</t>
  </si>
  <si>
    <t>合月</t>
  </si>
  <si>
    <t>積日</t>
  </si>
  <si>
    <t>入月日</t>
  </si>
  <si>
    <t>星合日</t>
  </si>
  <si>
    <t>星合月朔日</t>
  </si>
  <si>
    <t>積度</t>
  </si>
  <si>
    <t>度餘</t>
  </si>
  <si>
    <t>法</t>
  </si>
  <si>
    <t>Big denominators</t>
  </si>
  <si>
    <t>宿</t>
  </si>
  <si>
    <t>度</t>
  </si>
  <si>
    <t>斗度</t>
  </si>
  <si>
    <t>Current year:</t>
  </si>
  <si>
    <t>入紀年</t>
  </si>
  <si>
    <t>閏月</t>
  </si>
  <si>
    <t>晨夕</t>
  </si>
  <si>
    <t>*To perform the following steps, we will need to choose a date and time that we want to compute for.</t>
  </si>
  <si>
    <t>本年</t>
  </si>
  <si>
    <t>Sexeganary day</t>
  </si>
  <si>
    <t>Month days</t>
  </si>
  <si>
    <t>Notches /100</t>
  </si>
  <si>
    <t>入紀日 00:00</t>
  </si>
  <si>
    <t>To help us automate table look-up, we note the number of days accumulated from era-head:</t>
  </si>
  <si>
    <t>入紀日：</t>
  </si>
  <si>
    <t>Counting from this date, the previous conjunction was:</t>
  </si>
  <si>
    <t>總積日</t>
  </si>
  <si>
    <t>Year:</t>
  </si>
  <si>
    <t>Date + remainder:</t>
  </si>
  <si>
    <r>
      <t>du</t>
    </r>
    <r>
      <rPr>
        <sz val="10"/>
        <color indexed="8"/>
        <rFont val="Times New Roman"/>
        <family val="1"/>
      </rPr>
      <t xml:space="preserve"> + parts:</t>
    </r>
  </si>
  <si>
    <t>斗度、度餘:</t>
  </si>
  <si>
    <t>晨夕:</t>
  </si>
  <si>
    <t>步術</t>
  </si>
  <si>
    <t>3.47</t>
  </si>
  <si>
    <t>以步法伏日度分，加星合日度餘，命之如前，得星見日度也。…………………………………………………………………………………………………..</t>
  </si>
  <si>
    <t>星合日度餘:</t>
  </si>
  <si>
    <t>+ 斗度、度餘:</t>
  </si>
  <si>
    <t>行分母乘之，…………………………………………………………………………………………………..</t>
  </si>
  <si>
    <t>分如日度法而一，…………………………………………………………………………………………………..</t>
  </si>
  <si>
    <t>分不盡，如半法以上，亦得一，…………………………………………………………………………………………………..</t>
  </si>
  <si>
    <t>*Before coming to the next step, we need to figure out what segment of the planet's synodic period we are in, how far in we are, etc.</t>
  </si>
  <si>
    <t>合入紀日、日餘:</t>
  </si>
  <si>
    <t>所求時點入紀日、日餘:</t>
  </si>
  <si>
    <t>days into synodic period:</t>
  </si>
  <si>
    <r>
      <t>du</t>
    </r>
    <r>
      <rPr>
        <sz val="10"/>
        <color indexed="8"/>
        <rFont val="Times New Roman"/>
        <family val="1"/>
      </rPr>
      <t xml:space="preserve"> into synodic arc:</t>
    </r>
  </si>
  <si>
    <t>velocity:</t>
  </si>
  <si>
    <t>Phase</t>
  </si>
  <si>
    <t>Days into current phase:</t>
  </si>
  <si>
    <t>position at beginning of phase:</t>
  </si>
  <si>
    <t>Rounded 斗度、度餘 at beginning of phase:</t>
  </si>
  <si>
    <t>而日加所行分，…………………………………………………………………………………………………..</t>
  </si>
  <si>
    <t>滿其母得一度。…………………………………………………………………………………………………..</t>
  </si>
  <si>
    <t>留者承前，逆則減之，伏不書度。經斗除如行母，四分具一。其分有損益，前後相放。</t>
  </si>
  <si>
    <t>其以赤道命度，…………………………………………………………………………………………………..</t>
  </si>
  <si>
    <r>
      <t xml:space="preserve">*This next bit would seem to be repeating §248, but what would make sense here is if we also took the </t>
    </r>
    <r>
      <rPr>
        <i/>
        <sz val="10"/>
        <color indexed="8"/>
        <rFont val="Times New Roman"/>
        <family val="1"/>
      </rPr>
      <t>fraction of a day</t>
    </r>
    <r>
      <rPr>
        <sz val="10"/>
        <color indexed="8"/>
        <rFont val="Times New Roman"/>
        <family val="1"/>
      </rPr>
      <t xml:space="preserve"> into the current phase into consideration, which would involve a minor revision of the text. What should we do?</t>
    </r>
  </si>
  <si>
    <t>Fix it</t>
  </si>
  <si>
    <t xml:space="preserve">進加退減之。其步以黃道。 </t>
  </si>
  <si>
    <t>月名</t>
  </si>
  <si>
    <r>
      <t>小雪</t>
    </r>
    <r>
      <rPr>
        <sz val="7"/>
        <color indexed="17"/>
        <rFont val="Times New Roman"/>
        <family val="1"/>
        <charset val="134"/>
      </rPr>
      <t/>
    </r>
  </si>
  <si>
    <r>
      <t>女十二</t>
    </r>
    <r>
      <rPr>
        <sz val="7"/>
        <color indexed="8"/>
        <rFont val="SimSun"/>
      </rPr>
      <t>進一</t>
    </r>
  </si>
  <si>
    <r>
      <t>虛十</t>
    </r>
    <r>
      <rPr>
        <sz val="7"/>
        <color indexed="8"/>
        <rFont val="SimSun"/>
      </rPr>
      <t>進二</t>
    </r>
  </si>
  <si>
    <r>
      <t>斗二十六</t>
    </r>
    <r>
      <rPr>
        <sz val="7"/>
        <color indexed="8"/>
        <rFont val="SimSun"/>
      </rPr>
      <t>四分退二</t>
    </r>
  </si>
  <si>
    <r>
      <t>危十七</t>
    </r>
    <r>
      <rPr>
        <sz val="7"/>
        <color indexed="8"/>
        <rFont val="SimSun"/>
      </rPr>
      <t>進二</t>
    </r>
  </si>
  <si>
    <r>
      <t>室十六</t>
    </r>
    <r>
      <rPr>
        <sz val="7"/>
        <color indexed="8"/>
        <rFont val="SimSun"/>
      </rPr>
      <t>進三</t>
    </r>
  </si>
  <si>
    <r>
      <t>壁九</t>
    </r>
    <r>
      <rPr>
        <sz val="7"/>
        <color indexed="8"/>
        <rFont val="SimSun"/>
      </rPr>
      <t>進一</t>
    </r>
  </si>
  <si>
    <r>
      <t>婁十二</t>
    </r>
    <r>
      <rPr>
        <sz val="7"/>
        <color indexed="8"/>
        <rFont val="SimSun"/>
      </rPr>
      <t>退一</t>
    </r>
  </si>
  <si>
    <r>
      <t>胃十四</t>
    </r>
    <r>
      <rPr>
        <sz val="7"/>
        <color indexed="8"/>
        <rFont val="SimSun"/>
      </rPr>
      <t>退一</t>
    </r>
  </si>
  <si>
    <r>
      <t>昴十一</t>
    </r>
    <r>
      <rPr>
        <sz val="7"/>
        <color indexed="8"/>
        <rFont val="SimSun"/>
      </rPr>
      <t>退二</t>
    </r>
  </si>
  <si>
    <r>
      <t>畢十六</t>
    </r>
    <r>
      <rPr>
        <sz val="7"/>
        <color indexed="8"/>
        <rFont val="SimSun"/>
      </rPr>
      <t>退三</t>
    </r>
  </si>
  <si>
    <r>
      <t>翼十八</t>
    </r>
    <r>
      <rPr>
        <sz val="7"/>
        <color indexed="8"/>
        <rFont val="SimSun"/>
      </rPr>
      <t>進二</t>
    </r>
  </si>
  <si>
    <r>
      <t>尾十八</t>
    </r>
    <r>
      <rPr>
        <sz val="7"/>
        <color indexed="8"/>
        <rFont val="SimSun"/>
      </rPr>
      <t>退三</t>
    </r>
  </si>
  <si>
    <r>
      <t>黃道去極，日景之生，據儀、表也。漏刻之生，以去極遠近差乘節氣之差。如遠近而差</t>
    </r>
    <r>
      <rPr>
        <sz val="10"/>
        <color indexed="8"/>
        <rFont val="SimSun"/>
      </rPr>
      <t>一刻，以相增損。昬明之生，以天度乘晝漏，夜漏減之，二百而一，</t>
    </r>
    <r>
      <rPr>
        <sz val="10"/>
        <color indexed="8"/>
        <rFont val="SimSun"/>
      </rPr>
      <t>為定度。以減天度，餘為明；加定度一為昬。其餘四之，如法為少。二為半，三為太，</t>
    </r>
    <r>
      <rPr>
        <sz val="10"/>
        <color indexed="8"/>
        <rFont val="SimSun"/>
      </rPr>
      <t>不盡，三之，如法為強，餘半法以上以成強。強三為少，少四為度，其強二為少弱也。又以日度餘為少強，而各加焉。</t>
    </r>
  </si>
  <si>
    <r>
      <t>冬至</t>
    </r>
    <r>
      <rPr>
        <sz val="7"/>
        <color indexed="17"/>
        <rFont val="Times New Roman"/>
        <family val="1"/>
        <charset val="134"/>
      </rPr>
      <t/>
    </r>
  </si>
  <si>
    <r>
      <t>斗二十一度</t>
    </r>
    <r>
      <rPr>
        <sz val="7"/>
        <color indexed="8"/>
        <rFont val="SimSun"/>
      </rPr>
      <t>八分退二</t>
    </r>
  </si>
  <si>
    <r>
      <t>女二度</t>
    </r>
    <r>
      <rPr>
        <sz val="7"/>
        <color indexed="8"/>
        <rFont val="SimSun"/>
      </rPr>
      <t>七分進一</t>
    </r>
  </si>
  <si>
    <r>
      <t>危十度</t>
    </r>
    <r>
      <rPr>
        <sz val="7"/>
        <color indexed="8"/>
        <rFont val="SimSun"/>
      </rPr>
      <t>二十一分進二</t>
    </r>
  </si>
  <si>
    <r>
      <t>室八度</t>
    </r>
    <r>
      <rPr>
        <sz val="7"/>
        <color indexed="8"/>
        <rFont val="SimSun"/>
      </rPr>
      <t>二十八分進三</t>
    </r>
  </si>
  <si>
    <r>
      <t>夏至</t>
    </r>
    <r>
      <rPr>
        <sz val="7"/>
        <color indexed="17"/>
        <rFont val="Times New Roman"/>
        <family val="1"/>
        <charset val="134"/>
      </rPr>
      <t/>
    </r>
  </si>
  <si>
    <r>
      <t>畢六度</t>
    </r>
    <r>
      <rPr>
        <sz val="7"/>
        <color indexed="8"/>
        <rFont val="SimSun"/>
      </rPr>
      <t>三十一分退三</t>
    </r>
  </si>
  <si>
    <r>
      <t>胃一度</t>
    </r>
    <r>
      <rPr>
        <sz val="7"/>
        <color indexed="8"/>
        <rFont val="SimSun"/>
      </rPr>
      <t>十七分退一</t>
    </r>
  </si>
  <si>
    <r>
      <t>星四度</t>
    </r>
    <r>
      <rPr>
        <sz val="7"/>
        <color indexed="8"/>
        <rFont val="SimSun"/>
      </rPr>
      <t>二分進一</t>
    </r>
  </si>
  <si>
    <r>
      <t>翼九度</t>
    </r>
    <r>
      <rPr>
        <sz val="7"/>
        <color indexed="8"/>
        <rFont val="SimSun"/>
      </rPr>
      <t>十六分進二</t>
    </r>
  </si>
  <si>
    <r>
      <t>軫六度</t>
    </r>
    <r>
      <rPr>
        <sz val="7"/>
        <color indexed="8"/>
        <rFont val="SimSun"/>
      </rPr>
      <t>二十三分進一</t>
    </r>
  </si>
  <si>
    <r>
      <t>亢八度</t>
    </r>
    <r>
      <rPr>
        <sz val="7"/>
        <color indexed="8"/>
        <rFont val="SimSun"/>
      </rPr>
      <t>五分退一</t>
    </r>
  </si>
  <si>
    <r>
      <t>氐十四度</t>
    </r>
    <r>
      <rPr>
        <sz val="7"/>
        <color indexed="8"/>
        <rFont val="SimSun"/>
      </rPr>
      <t>十二分退二</t>
    </r>
  </si>
  <si>
    <r>
      <t>尾四度</t>
    </r>
    <r>
      <rPr>
        <sz val="7"/>
        <color indexed="8"/>
        <rFont val="SimSun"/>
      </rPr>
      <t>十九分退三</t>
    </r>
  </si>
  <si>
    <r>
      <t>斗六度</t>
    </r>
    <r>
      <rPr>
        <sz val="7"/>
        <color indexed="8"/>
        <rFont val="SimSun"/>
      </rPr>
      <t>一分退二</t>
    </r>
  </si>
  <si>
    <r>
      <t>百一十</t>
    </r>
    <r>
      <rPr>
        <sz val="7"/>
        <color indexed="8"/>
        <rFont val="SimSun"/>
      </rPr>
      <t>大弱</t>
    </r>
  </si>
  <si>
    <r>
      <t>百六</t>
    </r>
    <r>
      <rPr>
        <sz val="7"/>
        <color indexed="8"/>
        <rFont val="SimSun"/>
      </rPr>
      <t>少強</t>
    </r>
  </si>
  <si>
    <r>
      <t>八十九</t>
    </r>
    <r>
      <rPr>
        <sz val="7"/>
        <color indexed="8"/>
        <rFont val="SimSun"/>
      </rPr>
      <t>強</t>
    </r>
  </si>
  <si>
    <r>
      <t>九十六</t>
    </r>
    <r>
      <rPr>
        <sz val="7"/>
        <color indexed="8"/>
        <rFont val="SimSun"/>
      </rPr>
      <t>大強</t>
    </r>
  </si>
  <si>
    <t>丈</t>
  </si>
  <si>
    <r>
      <t>丈二尺五寸</t>
    </r>
    <r>
      <rPr>
        <sz val="7"/>
        <color indexed="8"/>
        <rFont val="SimSun"/>
      </rPr>
      <t/>
    </r>
  </si>
  <si>
    <r>
      <t>畢五</t>
    </r>
    <r>
      <rPr>
        <sz val="7"/>
        <color indexed="8"/>
        <rFont val="SimSun"/>
      </rPr>
      <t>少弱退三</t>
    </r>
  </si>
  <si>
    <r>
      <t>星四</t>
    </r>
    <r>
      <rPr>
        <sz val="7"/>
        <color indexed="8"/>
        <rFont val="SimSun"/>
      </rPr>
      <t>大進一</t>
    </r>
  </si>
  <si>
    <r>
      <t>張十七</t>
    </r>
    <r>
      <rPr>
        <sz val="7"/>
        <color indexed="8"/>
        <rFont val="SimSun"/>
      </rPr>
      <t>進一</t>
    </r>
  </si>
  <si>
    <r>
      <t>角</t>
    </r>
    <r>
      <rPr>
        <sz val="7"/>
        <color indexed="8"/>
        <rFont val="SimSun"/>
      </rPr>
      <t>大弱</t>
    </r>
  </si>
  <si>
    <r>
      <t>斗十</t>
    </r>
    <r>
      <rPr>
        <sz val="7"/>
        <color indexed="8"/>
        <rFont val="SimSun"/>
      </rPr>
      <t>少退二</t>
    </r>
  </si>
  <si>
    <r>
      <t>斗二十一</t>
    </r>
    <r>
      <rPr>
        <sz val="7"/>
        <color indexed="8"/>
        <rFont val="SimSun"/>
      </rPr>
      <t>強退二</t>
    </r>
  </si>
  <si>
    <r>
      <t>虛六</t>
    </r>
    <r>
      <rPr>
        <sz val="7"/>
        <color indexed="8"/>
        <rFont val="SimSun"/>
      </rPr>
      <t>大進二</t>
    </r>
  </si>
  <si>
    <r>
      <t>室三</t>
    </r>
    <r>
      <rPr>
        <sz val="7"/>
        <color indexed="8"/>
        <rFont val="SimSun"/>
      </rPr>
      <t>半強進三</t>
    </r>
  </si>
  <si>
    <r>
      <t>箕</t>
    </r>
    <r>
      <rPr>
        <sz val="7"/>
        <color indexed="8"/>
        <rFont val="SimSun"/>
      </rPr>
      <t>大弱退三</t>
    </r>
  </si>
  <si>
    <r>
      <t>斗十一</t>
    </r>
    <r>
      <rPr>
        <sz val="7"/>
        <color indexed="8"/>
        <rFont val="SimSun"/>
      </rPr>
      <t>弱退二</t>
    </r>
  </si>
  <si>
    <r>
      <t>女十</t>
    </r>
    <r>
      <rPr>
        <sz val="7"/>
        <color indexed="8"/>
        <rFont val="SimSun"/>
      </rPr>
      <t>少進一</t>
    </r>
  </si>
  <si>
    <r>
      <t>室十二</t>
    </r>
    <r>
      <rPr>
        <sz val="7"/>
        <color indexed="8"/>
        <rFont val="SimSun"/>
      </rPr>
      <t>少弱進三</t>
    </r>
  </si>
  <si>
    <r>
      <t>胃九</t>
    </r>
    <r>
      <rPr>
        <sz val="7"/>
        <color indexed="8"/>
        <rFont val="SimSun"/>
      </rPr>
      <t>大弱退一</t>
    </r>
  </si>
  <si>
    <r>
      <t>張十五</t>
    </r>
    <r>
      <rPr>
        <sz val="7"/>
        <color indexed="8"/>
        <rFont val="SimSun"/>
      </rPr>
      <t>大強進一</t>
    </r>
  </si>
  <si>
    <r>
      <t>軫十五</t>
    </r>
    <r>
      <rPr>
        <sz val="7"/>
        <color indexed="8"/>
        <rFont val="SimSun"/>
      </rPr>
      <t>弱進一</t>
    </r>
  </si>
  <si>
    <r>
      <t>中星以日所在為正，日行四歲乃終，置所求年二十四氣小餘四之，如法為少、大，餘不盡，三之，如法為強、弱，以減節氣昬明中星，而各定矣。強，正；弱，負也。</t>
    </r>
    <r>
      <rPr>
        <sz val="10"/>
        <color indexed="8"/>
        <rFont val="SimSun"/>
      </rPr>
      <t>其強弱相減，同名相去，異名從之。從強進少為弱，從弱退少而強。從上元太歲在庚辰以來，盡熹平三年，歲在甲寅，積九千四百五十五歲也。</t>
    </r>
  </si>
  <si>
    <r>
      <t>論曰：易有太極，是生兩儀。兩儀之分尚矣，乃有皇犧。皇犧之有天下也，未有書計。歷載彌久，暨於黃帝，班示文章，重黎記註，象應著名，始終相驗，準度追元，乃立曆數。天難諶斯，是以五、三迄于來今，各有改作，不通用。故黃帝造曆，元起辛卯，而顓頊用乙卯，虞用戊午，夏用丙寅，殷用甲寅，周用丁巳，魯用庚子。漢興承秦，初用乙卯，至武帝元封，不與天合，乃會術士作太初曆，元以丁丑。王莽之際，劉歆作三統，追太初前卅一元，</t>
    </r>
    <r>
      <rPr>
        <sz val="10"/>
        <color indexed="8"/>
        <rFont val="SimSun"/>
      </rPr>
      <t>得五星會庚戌之歲，以為上元。太初曆到章帝元和，旋復疏闊，徵能術者課校諸曆，定朔稽元，追漢四十五年庚辰之歲，</t>
    </r>
    <r>
      <rPr>
        <sz val="10"/>
        <color indexed="8"/>
        <rFont val="SimSun"/>
      </rPr>
      <t>追朔一日，乃與天合，以為四分曆元。加六百五元一紀，上得庚申。有近於緯，而歲不攝提，以辨曆者得開其說，而其元尠與緯同，同則或不得於天。然曆之興廢，以疏密課，固不主於元。光和元年中，議郎蔡邕、郎中劉洪補續律曆志，邕能著文，清濁鍾律，洪能為筭，述敍三光。今考論其業，義指博通，術數略舉，是以集錄為上下篇，放續前志，以備一家。</t>
    </r>
  </si>
</sst>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 ####.00"/>
    <numFmt numFmtId="168" formatCode="&quot;y &quot;#,##0"/>
    <numFmt numFmtId="169" formatCode="#,##0&quot; y&quot;"/>
    <numFmt numFmtId="170" formatCode="#,##0&quot; d&quot;"/>
    <numFmt numFmtId="171" formatCode="General&quot;/940&quot;"/>
    <numFmt numFmtId="172" formatCode="General&quot;/32&quot;"/>
    <numFmt numFmtId="173" formatCode="\,0"/>
    <numFmt numFmtId="174" formatCode="General\月"/>
    <numFmt numFmtId="175" formatCode="General&quot;°°&quot;"/>
    <numFmt numFmtId="178" formatCode="0.0&quot; 刻&quot;"/>
    <numFmt numFmtId="180" formatCode="#,##0&quot; 度&quot;"/>
    <numFmt numFmtId="181" formatCode="0&quot;°°&quot;"/>
    <numFmt numFmtId="182" formatCode="\[General\]"/>
    <numFmt numFmtId="185" formatCode="0.0&quot; d&quot;"/>
    <numFmt numFmtId="186" formatCode="\,0.0"/>
    <numFmt numFmtId="192" formatCode="0.0"/>
    <numFmt numFmtId="195" formatCode="0\ ??/??&quot; du&quot;"/>
    <numFmt numFmtId="196" formatCode="0&quot; du/day&quot;"/>
    <numFmt numFmtId="197" formatCode="0\ ?/?&quot; days&quot;"/>
    <numFmt numFmtId="198" formatCode="0\ ???/???&quot; days&quot;"/>
    <numFmt numFmtId="199" formatCode="0\ ?/?&quot; du&quot;"/>
    <numFmt numFmtId="200" formatCode="0&quot; years&quot;"/>
    <numFmt numFmtId="201" formatCode="&quot;第&quot;0&quot;年&quot;"/>
    <numFmt numFmtId="202" formatCode="0&quot;月&quot;"/>
    <numFmt numFmtId="203" formatCode="0.0000&quot; days&quot;"/>
    <numFmt numFmtId="204" formatCode="0.00&quot; qi&quot;"/>
    <numFmt numFmtId="205" formatCode="&quot;#&quot;0"/>
    <numFmt numFmtId="206" formatCode="#&quot; &quot;???/???"/>
    <numFmt numFmtId="207" formatCode="0.0000"/>
    <numFmt numFmtId="208" formatCode="&quot;+&quot;0&quot; days&quot;"/>
    <numFmt numFmtId="209" formatCode="#&quot;餘分&quot;"/>
    <numFmt numFmtId="210" formatCode="0&quot;日&quot;"/>
    <numFmt numFmtId="211" formatCode="&quot;§&quot;0"/>
    <numFmt numFmtId="212" formatCode="&quot;閏&quot;0&quot;月&quot;"/>
    <numFmt numFmtId="213" formatCode="0&quot;年&quot;"/>
    <numFmt numFmtId="214" formatCode="&quot;/ &quot;General"/>
  </numFmts>
  <fonts count="95">
    <font>
      <sz val="10"/>
      <name val="Times New Roman"/>
      <family val="1"/>
      <charset val="134"/>
    </font>
    <font>
      <sz val="9"/>
      <name val="Geneva"/>
      <family val="2"/>
      <charset val="134"/>
    </font>
    <font>
      <sz val="10"/>
      <color indexed="9"/>
      <name val="Times New Roman"/>
      <family val="1"/>
      <charset val="134"/>
    </font>
    <font>
      <sz val="10"/>
      <color indexed="44"/>
      <name val="Times New Roman"/>
      <family val="1"/>
      <charset val="134"/>
    </font>
    <font>
      <b/>
      <sz val="14"/>
      <name val="SimSun"/>
    </font>
    <font>
      <sz val="20"/>
      <color indexed="8"/>
      <name val="Times New Roman"/>
      <family val="1"/>
      <charset val="134"/>
    </font>
    <font>
      <sz val="10"/>
      <name val="SimSun"/>
    </font>
    <font>
      <sz val="8"/>
      <name val="Segoe Print"/>
    </font>
    <font>
      <b/>
      <sz val="10"/>
      <name val="SimSun"/>
    </font>
    <font>
      <sz val="10"/>
      <color indexed="17"/>
      <name val="SimSun"/>
    </font>
    <font>
      <sz val="11"/>
      <color indexed="8"/>
      <name val="Times New Roman"/>
      <family val="1"/>
      <charset val="134"/>
    </font>
    <font>
      <b/>
      <sz val="10"/>
      <color indexed="8"/>
      <name val="Times New Roman"/>
      <family val="1"/>
      <charset val="134"/>
    </font>
    <font>
      <sz val="10"/>
      <color indexed="8"/>
      <name val="Times New Roman"/>
      <family val="1"/>
      <charset val="134"/>
    </font>
    <font>
      <sz val="8"/>
      <color indexed="8"/>
      <name val="Segoe Print"/>
    </font>
    <font>
      <sz val="8"/>
      <color indexed="8"/>
      <name val="Times New Roman"/>
      <family val="1"/>
      <charset val="134"/>
    </font>
    <font>
      <sz val="12"/>
      <name val="Times New Roman"/>
      <family val="1"/>
      <charset val="134"/>
    </font>
    <font>
      <sz val="5"/>
      <color indexed="8"/>
      <name val="Times New Roman"/>
      <family val="1"/>
      <charset val="134"/>
    </font>
    <font>
      <sz val="11"/>
      <color indexed="8"/>
      <name val="宋体"/>
      <charset val="134"/>
    </font>
    <font>
      <sz val="6"/>
      <name val="Times New Roman"/>
      <family val="1"/>
      <charset val="134"/>
    </font>
    <font>
      <sz val="10"/>
      <name val="FreeSerif"/>
      <family val="1"/>
      <charset val="134"/>
    </font>
    <font>
      <sz val="12"/>
      <color indexed="8"/>
      <name val="Times New Roman"/>
      <family val="1"/>
      <charset val="134"/>
    </font>
    <font>
      <b/>
      <sz val="11"/>
      <color indexed="8"/>
      <name val="Times New Roman"/>
      <family val="1"/>
      <charset val="134"/>
    </font>
    <font>
      <sz val="10"/>
      <color indexed="10"/>
      <name val="Times New Roman"/>
      <family val="1"/>
      <charset val="134"/>
    </font>
    <font>
      <b/>
      <sz val="16"/>
      <name val="Times New Roman"/>
      <family val="1"/>
      <charset val="134"/>
    </font>
    <font>
      <sz val="16"/>
      <name val="Times New Roman"/>
      <family val="1"/>
      <charset val="134"/>
    </font>
    <font>
      <sz val="10"/>
      <color indexed="8"/>
      <name val="SimSun"/>
    </font>
    <font>
      <b/>
      <sz val="10"/>
      <name val="Times New Roman"/>
      <family val="1"/>
      <charset val="134"/>
    </font>
    <font>
      <sz val="10"/>
      <color indexed="8"/>
      <name val="FreeSerif"/>
      <family val="1"/>
      <charset val="134"/>
    </font>
    <font>
      <sz val="6"/>
      <color indexed="8"/>
      <name val="Times New Roman"/>
      <family val="1"/>
      <charset val="134"/>
    </font>
    <font>
      <sz val="11"/>
      <color indexed="8"/>
      <name val="SimSun"/>
    </font>
    <font>
      <sz val="9"/>
      <name val="Times New Roman"/>
      <family val="1"/>
      <charset val="134"/>
    </font>
    <font>
      <sz val="10"/>
      <color indexed="55"/>
      <name val="宋体"/>
      <charset val="134"/>
    </font>
    <font>
      <sz val="10"/>
      <color indexed="8"/>
      <name val="宋体"/>
      <charset val="134"/>
    </font>
    <font>
      <sz val="10"/>
      <color indexed="23"/>
      <name val="Times New Roman"/>
      <family val="1"/>
      <charset val="134"/>
    </font>
    <font>
      <sz val="10"/>
      <color indexed="55"/>
      <name val="Times New Roman"/>
      <family val="1"/>
      <charset val="134"/>
    </font>
    <font>
      <b/>
      <sz val="10"/>
      <color indexed="8"/>
      <name val="宋体"/>
      <charset val="134"/>
    </font>
    <font>
      <sz val="10"/>
      <color indexed="55"/>
      <name val="SimSun"/>
    </font>
    <font>
      <sz val="12"/>
      <color indexed="8"/>
      <name val="宋体"/>
      <charset val="134"/>
    </font>
    <font>
      <b/>
      <sz val="10"/>
      <color indexed="8"/>
      <name val="SimSun"/>
    </font>
    <font>
      <sz val="7"/>
      <color indexed="10"/>
      <name val="SimSun"/>
    </font>
    <font>
      <sz val="10"/>
      <color indexed="9"/>
      <name val="SimSun"/>
    </font>
    <font>
      <sz val="9"/>
      <color indexed="9"/>
      <name val="Times New Roman"/>
      <family val="1"/>
      <charset val="134"/>
    </font>
    <font>
      <b/>
      <sz val="16"/>
      <color indexed="8"/>
      <name val="宋体"/>
      <charset val="134"/>
    </font>
    <font>
      <b/>
      <sz val="16"/>
      <color indexed="8"/>
      <name val="Times New Roman"/>
      <family val="1"/>
      <charset val="134"/>
    </font>
    <font>
      <sz val="11"/>
      <color indexed="16"/>
      <name val="Times New Roman"/>
      <family val="1"/>
      <charset val="134"/>
    </font>
    <font>
      <sz val="10"/>
      <color indexed="17"/>
      <name val="Times New Roman"/>
      <family val="1"/>
      <charset val="134"/>
    </font>
    <font>
      <b/>
      <sz val="18"/>
      <name val="Times New Roman"/>
      <family val="1"/>
      <charset val="134"/>
    </font>
    <font>
      <sz val="8"/>
      <name val="Times New Roman"/>
      <family val="1"/>
      <charset val="134"/>
    </font>
    <font>
      <b/>
      <sz val="10"/>
      <color indexed="10"/>
      <name val="Times New Roman"/>
      <family val="1"/>
      <charset val="134"/>
    </font>
    <font>
      <sz val="5"/>
      <name val="Times New Roman"/>
      <family val="1"/>
      <charset val="134"/>
    </font>
    <font>
      <sz val="7"/>
      <color indexed="17"/>
      <name val="Times New Roman"/>
      <family val="1"/>
      <charset val="134"/>
    </font>
    <font>
      <sz val="7"/>
      <color indexed="17"/>
      <name val="SimSun"/>
    </font>
    <font>
      <sz val="7"/>
      <color indexed="8"/>
      <name val="SimSun"/>
    </font>
    <font>
      <b/>
      <sz val="7"/>
      <color indexed="17"/>
      <name val="Times New Roman"/>
      <family val="1"/>
      <charset val="134"/>
    </font>
    <font>
      <b/>
      <sz val="7"/>
      <color indexed="17"/>
      <name val="SimSun"/>
    </font>
    <font>
      <sz val="11"/>
      <color indexed="9"/>
      <name val="SimSun"/>
    </font>
    <font>
      <sz val="11"/>
      <name val="SimSun"/>
    </font>
    <font>
      <sz val="11"/>
      <name val="Times New Roman"/>
      <family val="1"/>
      <charset val="134"/>
    </font>
    <font>
      <sz val="10"/>
      <name val="宋体"/>
      <charset val="134"/>
    </font>
    <font>
      <i/>
      <sz val="9"/>
      <color indexed="9"/>
      <name val="Times New Roman"/>
      <family val="1"/>
      <charset val="134"/>
    </font>
    <font>
      <sz val="10"/>
      <name val="Times New Roman"/>
      <family val="1"/>
    </font>
    <font>
      <sz val="10"/>
      <color indexed="8"/>
      <name val="Times New Roman"/>
      <family val="1"/>
    </font>
    <font>
      <i/>
      <sz val="10"/>
      <color indexed="8"/>
      <name val="Times New Roman"/>
      <family val="1"/>
    </font>
    <font>
      <sz val="9"/>
      <color indexed="81"/>
      <name val="Tahoma"/>
      <family val="2"/>
    </font>
    <font>
      <b/>
      <sz val="9"/>
      <color indexed="81"/>
      <name val="Tahoma"/>
      <family val="2"/>
    </font>
    <font>
      <i/>
      <sz val="9"/>
      <color indexed="81"/>
      <name val="Tahoma"/>
      <family val="2"/>
    </font>
    <font>
      <sz val="8"/>
      <color indexed="8"/>
      <name val="Times New Roman"/>
      <family val="1"/>
    </font>
    <font>
      <b/>
      <sz val="10"/>
      <color indexed="8"/>
      <name val="Times New Roman"/>
      <family val="1"/>
    </font>
    <font>
      <sz val="10"/>
      <color theme="0"/>
      <name val="Times New Roman"/>
      <family val="1"/>
      <charset val="134"/>
    </font>
    <font>
      <sz val="10"/>
      <color theme="0" tint="-0.499984740745262"/>
      <name val="Times New Roman"/>
      <family val="1"/>
      <charset val="134"/>
    </font>
    <font>
      <sz val="10"/>
      <color theme="0"/>
      <name val="SimSun"/>
    </font>
    <font>
      <sz val="6"/>
      <color theme="0"/>
      <name val="Times New Roman"/>
      <family val="1"/>
      <charset val="134"/>
    </font>
    <font>
      <sz val="10"/>
      <color theme="0"/>
      <name val="宋体"/>
      <charset val="134"/>
    </font>
    <font>
      <sz val="8"/>
      <color theme="0"/>
      <name val="Times New Roman"/>
      <family val="1"/>
      <charset val="134"/>
    </font>
    <font>
      <b/>
      <sz val="8"/>
      <name val="Times New Roman"/>
      <family val="1"/>
    </font>
    <font>
      <b/>
      <sz val="10"/>
      <name val="Times New Roman"/>
      <family val="1"/>
    </font>
    <font>
      <b/>
      <sz val="10"/>
      <color theme="0"/>
      <name val="宋体"/>
      <charset val="134"/>
    </font>
    <font>
      <b/>
      <sz val="10"/>
      <color theme="0"/>
      <name val="Times New Roman"/>
      <family val="1"/>
      <charset val="134"/>
    </font>
    <font>
      <b/>
      <sz val="6"/>
      <color theme="0"/>
      <name val="Times New Roman"/>
      <family val="1"/>
      <charset val="134"/>
    </font>
    <font>
      <sz val="10"/>
      <color rgb="FFFF0000"/>
      <name val="Times New Roman"/>
      <family val="1"/>
      <charset val="134"/>
    </font>
    <font>
      <sz val="11"/>
      <color rgb="FFFF0000"/>
      <name val="Times New Roman"/>
      <family val="1"/>
      <charset val="134"/>
    </font>
    <font>
      <sz val="12"/>
      <color rgb="FFFF0000"/>
      <name val="Times New Roman"/>
      <family val="1"/>
      <charset val="134"/>
    </font>
    <font>
      <sz val="10"/>
      <color theme="0"/>
      <name val="Times New Roman"/>
      <family val="1"/>
    </font>
    <font>
      <sz val="8"/>
      <color theme="0"/>
      <name val="Times New Roman"/>
      <family val="1"/>
    </font>
    <font>
      <b/>
      <sz val="10"/>
      <color indexed="8"/>
      <name val="DejaVu Sans"/>
      <family val="2"/>
      <charset val="134"/>
    </font>
    <font>
      <b/>
      <i/>
      <sz val="10"/>
      <name val="Times New Roman"/>
      <family val="1"/>
    </font>
    <font>
      <sz val="9"/>
      <name val="Times New Roman"/>
      <family val="1"/>
    </font>
    <font>
      <sz val="8"/>
      <name val="Times New Roman"/>
      <family val="1"/>
    </font>
    <font>
      <i/>
      <sz val="10"/>
      <name val="Times New Roman"/>
      <family val="1"/>
    </font>
    <font>
      <sz val="8"/>
      <color theme="0" tint="-0.249977111117893"/>
      <name val="Times New Roman"/>
      <family val="1"/>
      <charset val="134"/>
    </font>
    <font>
      <b/>
      <sz val="11"/>
      <color indexed="8"/>
      <name val="Times New Roman"/>
      <family val="1"/>
    </font>
    <font>
      <sz val="10"/>
      <color theme="5"/>
      <name val="Times New Roman"/>
      <family val="1"/>
      <charset val="134"/>
    </font>
    <font>
      <sz val="11"/>
      <color indexed="8"/>
      <name val="Times New Roman"/>
      <family val="1"/>
    </font>
    <font>
      <sz val="10"/>
      <color rgb="FFFF0000"/>
      <name val="Times New Roman"/>
      <family val="1"/>
    </font>
    <font>
      <b/>
      <sz val="8"/>
      <color indexed="8"/>
      <name val="Times New Roman"/>
      <family val="1"/>
    </font>
  </fonts>
  <fills count="32">
    <fill>
      <patternFill patternType="none"/>
    </fill>
    <fill>
      <patternFill patternType="gray125"/>
    </fill>
    <fill>
      <patternFill patternType="solid">
        <fgColor indexed="9"/>
        <bgColor indexed="26"/>
      </patternFill>
    </fill>
    <fill>
      <patternFill patternType="solid">
        <fgColor indexed="41"/>
        <bgColor indexed="27"/>
      </patternFill>
    </fill>
    <fill>
      <patternFill patternType="solid">
        <fgColor indexed="27"/>
        <bgColor indexed="41"/>
      </patternFill>
    </fill>
    <fill>
      <patternFill patternType="solid">
        <fgColor indexed="22"/>
        <bgColor indexed="31"/>
      </patternFill>
    </fill>
    <fill>
      <patternFill patternType="solid">
        <fgColor indexed="26"/>
        <bgColor indexed="9"/>
      </patternFill>
    </fill>
    <fill>
      <patternFill patternType="solid">
        <fgColor indexed="52"/>
        <bgColor indexed="53"/>
      </patternFill>
    </fill>
    <fill>
      <patternFill patternType="solid">
        <fgColor indexed="55"/>
        <bgColor indexed="23"/>
      </patternFill>
    </fill>
    <fill>
      <patternFill patternType="solid">
        <fgColor indexed="31"/>
        <bgColor indexed="22"/>
      </patternFill>
    </fill>
    <fill>
      <patternFill patternType="solid">
        <fgColor indexed="63"/>
        <bgColor indexed="59"/>
      </patternFill>
    </fill>
    <fill>
      <patternFill patternType="solid">
        <fgColor indexed="50"/>
        <bgColor indexed="51"/>
      </patternFill>
    </fill>
    <fill>
      <patternFill patternType="solid">
        <fgColor indexed="34"/>
        <bgColor indexed="13"/>
      </patternFill>
    </fill>
    <fill>
      <patternFill patternType="solid">
        <fgColor theme="9" tint="-0.249977111117893"/>
        <bgColor indexed="41"/>
      </patternFill>
    </fill>
    <fill>
      <patternFill patternType="solid">
        <fgColor theme="1"/>
        <bgColor indexed="41"/>
      </patternFill>
    </fill>
    <fill>
      <patternFill patternType="solid">
        <fgColor theme="1"/>
        <bgColor indexed="27"/>
      </patternFill>
    </fill>
    <fill>
      <patternFill patternType="solid">
        <fgColor theme="0"/>
        <bgColor indexed="27"/>
      </patternFill>
    </fill>
    <fill>
      <patternFill patternType="solid">
        <fgColor theme="6" tint="0.39997558519241921"/>
        <bgColor indexed="64"/>
      </patternFill>
    </fill>
    <fill>
      <patternFill patternType="solid">
        <fgColor theme="6" tint="0.39997558519241921"/>
        <bgColor indexed="27"/>
      </patternFill>
    </fill>
    <fill>
      <patternFill patternType="solid">
        <fgColor theme="1"/>
        <bgColor indexed="64"/>
      </patternFill>
    </fill>
    <fill>
      <patternFill patternType="solid">
        <fgColor theme="1"/>
        <bgColor indexed="22"/>
      </patternFill>
    </fill>
    <fill>
      <patternFill patternType="solid">
        <fgColor theme="1"/>
        <bgColor indexed="26"/>
      </patternFill>
    </fill>
    <fill>
      <patternFill patternType="solid">
        <fgColor rgb="FFFFC000"/>
        <bgColor indexed="41"/>
      </patternFill>
    </fill>
    <fill>
      <patternFill patternType="solid">
        <fgColor theme="0" tint="-4.9989318521683403E-2"/>
        <bgColor indexed="26"/>
      </patternFill>
    </fill>
    <fill>
      <patternFill patternType="solid">
        <fgColor theme="0"/>
        <bgColor indexed="41"/>
      </patternFill>
    </fill>
    <fill>
      <patternFill patternType="solid">
        <fgColor theme="0"/>
        <bgColor indexed="64"/>
      </patternFill>
    </fill>
    <fill>
      <patternFill patternType="solid">
        <fgColor theme="5" tint="0.79998168889431442"/>
        <bgColor indexed="64"/>
      </patternFill>
    </fill>
    <fill>
      <patternFill patternType="solid">
        <fgColor rgb="FFFFFF00"/>
        <bgColor indexed="41"/>
      </patternFill>
    </fill>
    <fill>
      <patternFill patternType="solid">
        <fgColor theme="0"/>
        <bgColor indexed="31"/>
      </patternFill>
    </fill>
    <fill>
      <patternFill patternType="solid">
        <fgColor theme="6"/>
        <bgColor indexed="41"/>
      </patternFill>
    </fill>
    <fill>
      <patternFill patternType="solid">
        <fgColor rgb="FFFFFF00"/>
        <bgColor indexed="64"/>
      </patternFill>
    </fill>
    <fill>
      <patternFill patternType="solid">
        <fgColor theme="0"/>
        <bgColor indexed="34"/>
      </patternFill>
    </fill>
  </fills>
  <borders count="70">
    <border>
      <left/>
      <right/>
      <top/>
      <bottom/>
      <diagonal/>
    </border>
    <border>
      <left/>
      <right/>
      <top style="double">
        <color indexed="8"/>
      </top>
      <bottom style="double">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hair">
        <color indexed="23"/>
      </top>
      <bottom/>
      <diagonal/>
    </border>
    <border>
      <left/>
      <right/>
      <top style="hair">
        <color indexed="23"/>
      </top>
      <bottom/>
      <diagonal/>
    </border>
    <border>
      <left/>
      <right style="medium">
        <color indexed="8"/>
      </right>
      <top style="hair">
        <color indexed="23"/>
      </top>
      <bottom/>
      <diagonal/>
    </border>
    <border>
      <left style="medium">
        <color indexed="8"/>
      </left>
      <right/>
      <top/>
      <bottom style="hair">
        <color indexed="23"/>
      </bottom>
      <diagonal/>
    </border>
    <border>
      <left/>
      <right/>
      <top/>
      <bottom style="hair">
        <color indexed="23"/>
      </bottom>
      <diagonal/>
    </border>
    <border>
      <left/>
      <right style="medium">
        <color indexed="8"/>
      </right>
      <top/>
      <bottom style="hair">
        <color indexed="23"/>
      </bottom>
      <diagonal/>
    </border>
    <border>
      <left style="medium">
        <color indexed="8"/>
      </left>
      <right/>
      <top/>
      <bottom/>
      <diagonal/>
    </border>
    <border>
      <left/>
      <right style="medium">
        <color indexed="8"/>
      </right>
      <top/>
      <bottom/>
      <diagonal/>
    </border>
    <border>
      <left style="medium">
        <color indexed="8"/>
      </left>
      <right/>
      <top style="hair">
        <color indexed="8"/>
      </top>
      <bottom/>
      <diagonal/>
    </border>
    <border>
      <left/>
      <right/>
      <top style="hair">
        <color indexed="8"/>
      </top>
      <bottom/>
      <diagonal/>
    </border>
    <border>
      <left/>
      <right style="medium">
        <color indexed="8"/>
      </right>
      <top style="hair">
        <color indexed="8"/>
      </top>
      <bottom/>
      <diagonal/>
    </border>
    <border>
      <left style="medium">
        <color indexed="8"/>
      </left>
      <right/>
      <top/>
      <bottom style="hair">
        <color indexed="8"/>
      </bottom>
      <diagonal/>
    </border>
    <border>
      <left/>
      <right/>
      <top/>
      <bottom style="hair">
        <color indexed="8"/>
      </bottom>
      <diagonal/>
    </border>
    <border>
      <left/>
      <right style="medium">
        <color indexed="8"/>
      </right>
      <top/>
      <bottom style="hair">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top style="double">
        <color indexed="8"/>
      </top>
      <bottom/>
      <diagonal/>
    </border>
    <border>
      <left style="medium">
        <color indexed="8"/>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8"/>
      </left>
      <right/>
      <top style="thin">
        <color indexed="64"/>
      </top>
      <bottom/>
      <diagonal/>
    </border>
    <border>
      <left/>
      <right style="hair">
        <color indexed="8"/>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hair">
        <color indexed="8"/>
      </left>
      <right style="thin">
        <color indexed="64"/>
      </right>
      <top style="thin">
        <color indexed="64"/>
      </top>
      <bottom/>
      <diagonal/>
    </border>
    <border>
      <left style="hair">
        <color indexed="8"/>
      </left>
      <right style="thin">
        <color indexed="64"/>
      </right>
      <top/>
      <bottom/>
      <diagonal/>
    </border>
    <border>
      <left/>
      <right/>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cellStyleXfs>
  <cellXfs count="989">
    <xf numFmtId="0" fontId="0" fillId="0" borderId="0" xfId="0"/>
    <xf numFmtId="0" fontId="4" fillId="2" borderId="0" xfId="0" applyFont="1" applyFill="1" applyAlignment="1">
      <alignment vertical="top"/>
    </xf>
    <xf numFmtId="49" fontId="5" fillId="3" borderId="1" xfId="0" applyNumberFormat="1" applyFont="1" applyFill="1" applyBorder="1" applyAlignment="1">
      <alignment horizontal="left" vertical="top"/>
    </xf>
    <xf numFmtId="0" fontId="5" fillId="3" borderId="1" xfId="0" applyFont="1" applyFill="1" applyBorder="1" applyAlignment="1">
      <alignment vertical="top"/>
    </xf>
    <xf numFmtId="0" fontId="0" fillId="0" borderId="0" xfId="0" applyFont="1" applyAlignment="1">
      <alignment horizontal="justify" vertical="center"/>
    </xf>
    <xf numFmtId="0" fontId="10" fillId="4" borderId="0" xfId="0" applyFont="1" applyFill="1"/>
    <xf numFmtId="0" fontId="12" fillId="4" borderId="0" xfId="0" applyFont="1" applyFill="1" applyAlignment="1">
      <alignment vertical="top" wrapText="1"/>
    </xf>
    <xf numFmtId="0" fontId="12" fillId="4" borderId="0" xfId="0" applyFont="1" applyFill="1" applyBorder="1" applyAlignment="1">
      <alignment vertical="top"/>
    </xf>
    <xf numFmtId="0" fontId="12" fillId="4" borderId="0" xfId="0" applyFont="1" applyFill="1" applyAlignment="1">
      <alignment vertical="top"/>
    </xf>
    <xf numFmtId="164" fontId="12" fillId="4" borderId="0" xfId="0" applyNumberFormat="1" applyFont="1" applyFill="1" applyAlignment="1">
      <alignment wrapText="1"/>
    </xf>
    <xf numFmtId="0" fontId="10" fillId="0" borderId="0" xfId="0" applyFont="1"/>
    <xf numFmtId="0" fontId="10" fillId="0" borderId="0" xfId="0" applyFont="1" applyAlignment="1">
      <alignment horizontal="right"/>
    </xf>
    <xf numFmtId="0" fontId="10" fillId="0" borderId="0" xfId="0" applyFont="1" applyFill="1"/>
    <xf numFmtId="0" fontId="12" fillId="0" borderId="0" xfId="0" applyFont="1" applyFill="1" applyBorder="1" applyAlignment="1">
      <alignment vertical="top" wrapText="1"/>
    </xf>
    <xf numFmtId="0" fontId="12" fillId="0" borderId="0" xfId="0" applyFont="1" applyFill="1" applyBorder="1" applyAlignment="1">
      <alignment vertical="top"/>
    </xf>
    <xf numFmtId="0" fontId="0" fillId="0" borderId="0" xfId="0" applyFill="1"/>
    <xf numFmtId="0" fontId="20" fillId="4" borderId="0" xfId="0" applyFont="1" applyFill="1"/>
    <xf numFmtId="0" fontId="21" fillId="4" borderId="0" xfId="0" applyFont="1" applyFill="1"/>
    <xf numFmtId="0" fontId="12" fillId="4" borderId="0" xfId="0" applyFont="1" applyFill="1" applyAlignment="1"/>
    <xf numFmtId="0" fontId="22" fillId="4" borderId="0" xfId="0" applyFont="1" applyFill="1" applyAlignment="1">
      <alignment horizontal="left"/>
    </xf>
    <xf numFmtId="0" fontId="12" fillId="4" borderId="0" xfId="0" applyFont="1" applyFill="1" applyAlignment="1">
      <alignment horizontal="right" vertical="top"/>
    </xf>
    <xf numFmtId="164" fontId="10" fillId="4" borderId="0" xfId="0" applyNumberFormat="1" applyFont="1" applyFill="1"/>
    <xf numFmtId="49" fontId="23" fillId="0" borderId="0" xfId="0" applyNumberFormat="1" applyFont="1" applyAlignment="1">
      <alignment horizontal="left" vertical="top"/>
    </xf>
    <xf numFmtId="0" fontId="0" fillId="0" borderId="0" xfId="0" applyAlignment="1">
      <alignment vertical="top"/>
    </xf>
    <xf numFmtId="49" fontId="0" fillId="2" borderId="0" xfId="0" applyNumberFormat="1" applyFont="1" applyFill="1" applyAlignment="1">
      <alignment horizontal="left" vertical="top"/>
    </xf>
    <xf numFmtId="0" fontId="0" fillId="2" borderId="0" xfId="0" applyFont="1" applyFill="1" applyAlignment="1">
      <alignment vertical="top"/>
    </xf>
    <xf numFmtId="0" fontId="0" fillId="0" borderId="0" xfId="0" applyFont="1" applyAlignment="1">
      <alignment vertical="top"/>
    </xf>
    <xf numFmtId="49" fontId="0" fillId="0" borderId="0" xfId="0" applyNumberFormat="1" applyAlignment="1">
      <alignment horizontal="left" vertical="top"/>
    </xf>
    <xf numFmtId="0" fontId="24" fillId="0" borderId="1" xfId="0" applyFont="1" applyBorder="1" applyAlignment="1">
      <alignment horizontal="right"/>
    </xf>
    <xf numFmtId="0" fontId="24" fillId="0" borderId="1" xfId="0" applyFont="1" applyBorder="1"/>
    <xf numFmtId="0" fontId="25" fillId="5" borderId="0" xfId="0" applyFont="1" applyFill="1" applyAlignment="1"/>
    <xf numFmtId="0" fontId="12" fillId="5" borderId="0" xfId="0" applyFont="1" applyFill="1" applyAlignment="1">
      <alignment vertical="top"/>
    </xf>
    <xf numFmtId="49" fontId="0" fillId="0" borderId="0" xfId="0" applyNumberFormat="1" applyFont="1" applyFill="1" applyAlignment="1">
      <alignment horizontal="left"/>
    </xf>
    <xf numFmtId="0" fontId="6" fillId="2" borderId="0" xfId="0" applyFont="1" applyFill="1" applyAlignment="1"/>
    <xf numFmtId="0" fontId="0" fillId="2" borderId="0" xfId="0" applyFont="1" applyFill="1" applyAlignment="1"/>
    <xf numFmtId="0" fontId="0" fillId="0" borderId="0" xfId="0" applyFont="1" applyAlignment="1"/>
    <xf numFmtId="0" fontId="0" fillId="0" borderId="0" xfId="0" applyAlignment="1">
      <alignment horizontal="left"/>
    </xf>
    <xf numFmtId="0" fontId="0" fillId="0" borderId="0" xfId="0" applyFont="1" applyFill="1" applyAlignment="1"/>
    <xf numFmtId="0" fontId="0" fillId="0" borderId="0" xfId="0" applyAlignment="1"/>
    <xf numFmtId="0" fontId="6" fillId="0" borderId="0" xfId="0" applyFont="1" applyFill="1" applyAlignment="1"/>
    <xf numFmtId="169" fontId="0" fillId="0" borderId="0" xfId="0" applyNumberFormat="1" applyFont="1" applyFill="1" applyAlignment="1"/>
    <xf numFmtId="0" fontId="0" fillId="0" borderId="0" xfId="0" applyFill="1" applyAlignment="1">
      <alignment horizontal="justify"/>
    </xf>
    <xf numFmtId="0" fontId="0" fillId="0" borderId="0" xfId="0" applyFill="1" applyAlignment="1">
      <alignment horizontal="left"/>
    </xf>
    <xf numFmtId="49" fontId="0" fillId="2" borderId="0" xfId="0" applyNumberFormat="1" applyFont="1" applyFill="1" applyAlignment="1">
      <alignment horizontal="left"/>
    </xf>
    <xf numFmtId="0" fontId="27" fillId="2" borderId="0" xfId="0" applyNumberFormat="1" applyFont="1" applyFill="1" applyAlignment="1">
      <alignment wrapText="1"/>
    </xf>
    <xf numFmtId="49" fontId="0" fillId="0" borderId="0" xfId="0" applyNumberFormat="1" applyFont="1" applyAlignment="1">
      <alignment horizontal="left" vertical="top"/>
    </xf>
    <xf numFmtId="0" fontId="6" fillId="0" borderId="0" xfId="0" applyFont="1"/>
    <xf numFmtId="49" fontId="0" fillId="0" borderId="0" xfId="0" applyNumberFormat="1" applyFont="1" applyFill="1" applyAlignment="1">
      <alignment horizontal="left" vertical="top"/>
    </xf>
    <xf numFmtId="0" fontId="0" fillId="0" borderId="0" xfId="0" applyFont="1" applyFill="1" applyAlignment="1">
      <alignment vertical="top"/>
    </xf>
    <xf numFmtId="0" fontId="6" fillId="0" borderId="0" xfId="0" applyFont="1" applyFill="1" applyAlignment="1">
      <alignment vertical="top"/>
    </xf>
    <xf numFmtId="0" fontId="19" fillId="0" borderId="0" xfId="0" applyFont="1" applyFill="1" applyAlignment="1">
      <alignment vertical="top"/>
    </xf>
    <xf numFmtId="0" fontId="0" fillId="0" borderId="0" xfId="0" applyFont="1" applyFill="1" applyAlignment="1">
      <alignment horizontal="justify" vertical="center"/>
    </xf>
    <xf numFmtId="0" fontId="6" fillId="0" borderId="0" xfId="0" applyFont="1" applyFill="1" applyAlignment="1">
      <alignment horizontal="right"/>
    </xf>
    <xf numFmtId="0" fontId="32" fillId="3" borderId="0" xfId="0" applyFont="1" applyFill="1" applyAlignment="1">
      <alignment horizontal="right" vertical="top"/>
    </xf>
    <xf numFmtId="0" fontId="28" fillId="3" borderId="0" xfId="0" applyFont="1" applyFill="1" applyAlignment="1">
      <alignment horizontal="left"/>
    </xf>
    <xf numFmtId="0" fontId="7" fillId="0" borderId="0" xfId="0" applyFont="1" applyAlignment="1">
      <alignment vertical="top"/>
    </xf>
    <xf numFmtId="0" fontId="12" fillId="0" borderId="0" xfId="0" applyFont="1"/>
    <xf numFmtId="0" fontId="31" fillId="0" borderId="0" xfId="0" applyFont="1"/>
    <xf numFmtId="0" fontId="12" fillId="9" borderId="27" xfId="0" applyFont="1" applyFill="1" applyBorder="1" applyAlignment="1">
      <alignment horizontal="justify" vertical="center"/>
    </xf>
    <xf numFmtId="0" fontId="32" fillId="9" borderId="0" xfId="0" applyFont="1" applyFill="1" applyAlignment="1">
      <alignment horizontal="right" vertical="top"/>
    </xf>
    <xf numFmtId="0" fontId="28" fillId="9" borderId="0" xfId="0" applyFont="1" applyFill="1" applyAlignment="1">
      <alignment horizontal="left"/>
    </xf>
    <xf numFmtId="0" fontId="12" fillId="9" borderId="28" xfId="0" applyFont="1" applyFill="1" applyBorder="1" applyAlignment="1">
      <alignment vertical="top"/>
    </xf>
    <xf numFmtId="174" fontId="12" fillId="3" borderId="27" xfId="0" applyNumberFormat="1" applyFont="1" applyFill="1" applyBorder="1" applyAlignment="1">
      <alignment horizontal="center" vertical="center"/>
    </xf>
    <xf numFmtId="0" fontId="12" fillId="3" borderId="27" xfId="0" applyFont="1" applyFill="1" applyBorder="1" applyAlignment="1">
      <alignment horizontal="justify" vertical="center"/>
    </xf>
    <xf numFmtId="0" fontId="12" fillId="3" borderId="28" xfId="0" applyFont="1" applyFill="1" applyBorder="1" applyAlignment="1">
      <alignment vertical="top"/>
    </xf>
    <xf numFmtId="0" fontId="32" fillId="9" borderId="20" xfId="0" applyFont="1" applyFill="1" applyBorder="1" applyAlignment="1">
      <alignment horizontal="right" vertical="top"/>
    </xf>
    <xf numFmtId="0" fontId="12" fillId="9" borderId="30" xfId="0" applyFont="1" applyFill="1" applyBorder="1" applyAlignment="1">
      <alignment vertical="top"/>
    </xf>
    <xf numFmtId="0" fontId="31" fillId="0" borderId="20" xfId="0" applyFont="1" applyBorder="1"/>
    <xf numFmtId="0" fontId="0" fillId="5" borderId="0" xfId="0" applyFont="1" applyFill="1" applyAlignment="1">
      <alignment vertical="top"/>
    </xf>
    <xf numFmtId="0" fontId="37" fillId="0" borderId="0" xfId="0" applyFont="1" applyAlignment="1">
      <alignment horizontal="justify" vertical="center"/>
    </xf>
    <xf numFmtId="0" fontId="37" fillId="0" borderId="35" xfId="0" applyFont="1" applyBorder="1" applyAlignment="1">
      <alignment horizontal="justify" vertical="center"/>
    </xf>
    <xf numFmtId="0" fontId="10" fillId="0" borderId="35" xfId="0" applyFont="1" applyBorder="1"/>
    <xf numFmtId="49" fontId="0" fillId="5" borderId="0" xfId="0" applyNumberFormat="1" applyFont="1" applyFill="1" applyAlignment="1">
      <alignment horizontal="left" vertical="top"/>
    </xf>
    <xf numFmtId="171" fontId="30" fillId="0" borderId="0" xfId="0" applyNumberFormat="1" applyFont="1" applyAlignment="1">
      <alignment horizontal="left"/>
    </xf>
    <xf numFmtId="0" fontId="0" fillId="0" borderId="0" xfId="0" applyFont="1" applyFill="1" applyBorder="1" applyAlignment="1">
      <alignment vertical="top"/>
    </xf>
    <xf numFmtId="0" fontId="0" fillId="0" borderId="0" xfId="0" applyFont="1" applyBorder="1" applyAlignment="1">
      <alignment vertical="top"/>
    </xf>
    <xf numFmtId="0" fontId="8" fillId="0" borderId="0" xfId="0" applyFont="1" applyFill="1" applyAlignment="1">
      <alignment vertical="top"/>
    </xf>
    <xf numFmtId="49" fontId="12" fillId="0" borderId="0" xfId="0" applyNumberFormat="1" applyFont="1" applyFill="1" applyAlignment="1">
      <alignment horizontal="left" vertical="top"/>
    </xf>
    <xf numFmtId="0" fontId="6" fillId="0" borderId="0" xfId="0" applyFont="1" applyAlignment="1">
      <alignment horizontal="left" vertical="center"/>
    </xf>
    <xf numFmtId="0" fontId="12" fillId="0" borderId="0" xfId="0" applyFont="1" applyFill="1" applyAlignment="1">
      <alignment vertical="top"/>
    </xf>
    <xf numFmtId="0" fontId="12" fillId="0" borderId="0" xfId="0" applyFont="1" applyFill="1" applyAlignment="1">
      <alignment horizontal="left" vertical="top"/>
    </xf>
    <xf numFmtId="0" fontId="6" fillId="0" borderId="0" xfId="0" applyFont="1" applyAlignment="1">
      <alignment horizontal="left"/>
    </xf>
    <xf numFmtId="0" fontId="12" fillId="0" borderId="0" xfId="0" applyFont="1" applyFill="1" applyAlignment="1"/>
    <xf numFmtId="0" fontId="12" fillId="0" borderId="35" xfId="0" applyFont="1" applyBorder="1"/>
    <xf numFmtId="0" fontId="8" fillId="0" borderId="0" xfId="0" applyFont="1" applyAlignment="1">
      <alignment horizontal="left" vertical="center"/>
    </xf>
    <xf numFmtId="49" fontId="11" fillId="0" borderId="0" xfId="0" applyNumberFormat="1" applyFont="1" applyFill="1" applyAlignment="1">
      <alignment horizontal="left" vertical="top"/>
    </xf>
    <xf numFmtId="49" fontId="10" fillId="0" borderId="0" xfId="0" applyNumberFormat="1" applyFont="1"/>
    <xf numFmtId="0" fontId="12" fillId="6" borderId="0" xfId="0" applyFont="1" applyFill="1" applyAlignment="1">
      <alignment vertical="top"/>
    </xf>
    <xf numFmtId="0" fontId="6" fillId="5" borderId="0" xfId="0" applyFont="1" applyFill="1" applyAlignment="1">
      <alignment horizontal="left"/>
    </xf>
    <xf numFmtId="0" fontId="12" fillId="6" borderId="20" xfId="0" applyFont="1" applyFill="1" applyBorder="1" applyAlignment="1">
      <alignment vertical="top"/>
    </xf>
    <xf numFmtId="0" fontId="27" fillId="0" borderId="0" xfId="0" applyFont="1" applyFill="1" applyAlignment="1">
      <alignment vertical="top"/>
    </xf>
    <xf numFmtId="0" fontId="26" fillId="0" borderId="0" xfId="0" applyFont="1"/>
    <xf numFmtId="49" fontId="0" fillId="0" borderId="27" xfId="0" applyNumberFormat="1" applyFont="1" applyFill="1" applyBorder="1" applyAlignment="1">
      <alignment horizontal="left" vertical="top"/>
    </xf>
    <xf numFmtId="0" fontId="0" fillId="0" borderId="27" xfId="0" applyBorder="1"/>
    <xf numFmtId="0" fontId="12" fillId="0" borderId="0" xfId="0" applyFont="1" applyAlignment="1">
      <alignment horizontal="justify" vertical="center"/>
    </xf>
    <xf numFmtId="0" fontId="0" fillId="0" borderId="0" xfId="0" applyFont="1" applyAlignment="1">
      <alignment horizontal="center"/>
    </xf>
    <xf numFmtId="0" fontId="13" fillId="0" borderId="0" xfId="0" applyFont="1" applyAlignment="1">
      <alignment horizontal="justify" vertical="center"/>
    </xf>
    <xf numFmtId="0" fontId="10" fillId="0" borderId="28" xfId="0" applyFont="1" applyBorder="1" applyAlignment="1">
      <alignment horizontal="right"/>
    </xf>
    <xf numFmtId="0" fontId="10" fillId="0" borderId="0" xfId="0" applyFont="1" applyAlignment="1">
      <alignment horizontal="left"/>
    </xf>
    <xf numFmtId="0" fontId="12" fillId="0" borderId="27" xfId="0" applyFont="1" applyFill="1" applyBorder="1" applyAlignment="1">
      <alignment vertical="top"/>
    </xf>
    <xf numFmtId="49" fontId="12" fillId="0" borderId="27" xfId="0" applyNumberFormat="1" applyFont="1" applyFill="1" applyBorder="1" applyAlignment="1">
      <alignment horizontal="left" vertical="top"/>
    </xf>
    <xf numFmtId="0" fontId="6" fillId="0" borderId="0" xfId="0" applyFont="1" applyFill="1" applyAlignment="1">
      <alignment horizontal="left" vertical="center"/>
    </xf>
    <xf numFmtId="0" fontId="0" fillId="0" borderId="0" xfId="0" applyFont="1" applyFill="1" applyAlignment="1">
      <alignment horizontal="left" vertical="top"/>
    </xf>
    <xf numFmtId="0" fontId="10" fillId="0" borderId="27" xfId="0" applyFont="1" applyFill="1" applyBorder="1"/>
    <xf numFmtId="0" fontId="0" fillId="5" borderId="0" xfId="0" applyFont="1" applyFill="1" applyAlignment="1">
      <alignment horizontal="left" vertical="top"/>
    </xf>
    <xf numFmtId="0" fontId="0" fillId="5" borderId="0" xfId="0" applyFont="1" applyFill="1" applyBorder="1" applyAlignment="1">
      <alignment vertical="top"/>
    </xf>
    <xf numFmtId="0" fontId="46" fillId="11" borderId="5" xfId="0" applyFont="1" applyFill="1" applyBorder="1" applyAlignment="1">
      <alignment horizontal="left" vertical="center"/>
    </xf>
    <xf numFmtId="0" fontId="0" fillId="11" borderId="6" xfId="0" applyFont="1" applyFill="1" applyBorder="1" applyAlignment="1">
      <alignment vertical="top"/>
    </xf>
    <xf numFmtId="0" fontId="47" fillId="0" borderId="0" xfId="0" applyFont="1" applyAlignment="1">
      <alignment vertical="top"/>
    </xf>
    <xf numFmtId="0" fontId="25" fillId="6" borderId="14" xfId="0" applyFont="1" applyFill="1" applyBorder="1" applyAlignment="1">
      <alignment horizontal="justify" vertical="center"/>
    </xf>
    <xf numFmtId="170" fontId="12" fillId="6" borderId="0" xfId="0" applyNumberFormat="1" applyFont="1" applyFill="1" applyAlignment="1">
      <alignment vertical="top"/>
    </xf>
    <xf numFmtId="182" fontId="12" fillId="6" borderId="0" xfId="0" applyNumberFormat="1" applyFont="1" applyFill="1" applyAlignment="1">
      <alignment horizontal="left" vertical="top"/>
    </xf>
    <xf numFmtId="175" fontId="12" fillId="6" borderId="0" xfId="0" applyNumberFormat="1" applyFont="1" applyFill="1" applyAlignment="1">
      <alignment vertical="top"/>
    </xf>
    <xf numFmtId="1" fontId="12" fillId="6" borderId="0" xfId="0" applyNumberFormat="1" applyFont="1" applyFill="1" applyAlignment="1">
      <alignment vertical="top"/>
    </xf>
    <xf numFmtId="0" fontId="12" fillId="6" borderId="15" xfId="0" applyFont="1" applyFill="1" applyBorder="1" applyAlignment="1">
      <alignment horizontal="left" vertical="top"/>
    </xf>
    <xf numFmtId="0" fontId="0" fillId="0" borderId="25" xfId="0" applyFont="1" applyBorder="1"/>
    <xf numFmtId="0" fontId="17" fillId="6" borderId="14" xfId="0" applyFont="1" applyFill="1" applyBorder="1" applyAlignment="1">
      <alignment horizontal="justify" vertical="center"/>
    </xf>
    <xf numFmtId="0" fontId="12" fillId="6" borderId="0" xfId="0" applyFont="1" applyFill="1" applyBorder="1" applyAlignment="1">
      <alignment vertical="top"/>
    </xf>
    <xf numFmtId="0" fontId="12" fillId="6" borderId="15" xfId="0" applyNumberFormat="1" applyFont="1" applyFill="1" applyBorder="1" applyAlignment="1">
      <alignment horizontal="left" vertical="top"/>
    </xf>
    <xf numFmtId="0" fontId="0" fillId="0" borderId="27" xfId="0" applyFont="1" applyBorder="1"/>
    <xf numFmtId="0" fontId="34" fillId="6" borderId="15" xfId="0" applyNumberFormat="1" applyFont="1" applyFill="1" applyBorder="1" applyAlignment="1">
      <alignment horizontal="left" vertical="top"/>
    </xf>
    <xf numFmtId="0" fontId="0" fillId="0" borderId="29" xfId="0" applyFont="1" applyBorder="1"/>
    <xf numFmtId="0" fontId="11" fillId="6" borderId="22" xfId="0" applyFont="1" applyFill="1" applyBorder="1" applyAlignment="1">
      <alignment horizontal="justify" vertical="center"/>
    </xf>
    <xf numFmtId="0" fontId="12" fillId="6" borderId="23" xfId="0" applyFont="1" applyFill="1" applyBorder="1" applyAlignment="1">
      <alignment vertical="top"/>
    </xf>
    <xf numFmtId="170" fontId="11" fillId="6" borderId="23" xfId="0" applyNumberFormat="1" applyFont="1" applyFill="1" applyBorder="1" applyAlignment="1">
      <alignment vertical="top"/>
    </xf>
    <xf numFmtId="182" fontId="11" fillId="6" borderId="23" xfId="0" applyNumberFormat="1" applyFont="1" applyFill="1" applyBorder="1" applyAlignment="1">
      <alignment horizontal="left" vertical="top"/>
    </xf>
    <xf numFmtId="175" fontId="11" fillId="6" borderId="23" xfId="0" applyNumberFormat="1" applyFont="1" applyFill="1" applyBorder="1" applyAlignment="1">
      <alignment vertical="top"/>
    </xf>
    <xf numFmtId="0" fontId="11" fillId="6" borderId="23" xfId="0" applyNumberFormat="1" applyFont="1" applyFill="1" applyBorder="1" applyAlignment="1">
      <alignment vertical="top"/>
    </xf>
    <xf numFmtId="0" fontId="12" fillId="6" borderId="24" xfId="0" applyFont="1" applyFill="1" applyBorder="1" applyAlignment="1">
      <alignment vertical="top"/>
    </xf>
    <xf numFmtId="0" fontId="10" fillId="6" borderId="25" xfId="0" applyFont="1" applyFill="1" applyBorder="1"/>
    <xf numFmtId="0" fontId="10" fillId="6" borderId="17" xfId="0" applyFont="1" applyFill="1" applyBorder="1"/>
    <xf numFmtId="0" fontId="10" fillId="6" borderId="26" xfId="0" applyFont="1" applyFill="1" applyBorder="1"/>
    <xf numFmtId="0" fontId="10" fillId="6" borderId="27" xfId="0" applyFont="1" applyFill="1" applyBorder="1"/>
    <xf numFmtId="0" fontId="10" fillId="6" borderId="0" xfId="0" applyFont="1" applyFill="1"/>
    <xf numFmtId="0" fontId="10" fillId="6" borderId="28" xfId="0" applyFont="1" applyFill="1" applyBorder="1"/>
    <xf numFmtId="0" fontId="10" fillId="6" borderId="29" xfId="0" applyFont="1" applyFill="1" applyBorder="1"/>
    <xf numFmtId="0" fontId="10" fillId="6" borderId="20" xfId="0" applyFont="1" applyFill="1" applyBorder="1"/>
    <xf numFmtId="0" fontId="10" fillId="6" borderId="30" xfId="0" applyFont="1" applyFill="1" applyBorder="1"/>
    <xf numFmtId="0" fontId="0" fillId="0" borderId="25" xfId="0" applyFont="1" applyBorder="1" applyAlignment="1"/>
    <xf numFmtId="0" fontId="32" fillId="6" borderId="14" xfId="0" applyFont="1" applyFill="1" applyBorder="1" applyAlignment="1">
      <alignment horizontal="justify" vertical="center"/>
    </xf>
    <xf numFmtId="0" fontId="0" fillId="0" borderId="27" xfId="0" applyFont="1" applyBorder="1" applyAlignment="1"/>
    <xf numFmtId="185" fontId="12" fillId="6" borderId="0" xfId="0" applyNumberFormat="1" applyFont="1" applyFill="1" applyAlignment="1">
      <alignment vertical="top"/>
    </xf>
    <xf numFmtId="0" fontId="0" fillId="0" borderId="29" xfId="0" applyFont="1" applyBorder="1" applyAlignment="1"/>
    <xf numFmtId="182" fontId="48" fillId="6" borderId="23" xfId="0" applyNumberFormat="1" applyFont="1" applyFill="1" applyBorder="1" applyAlignment="1">
      <alignment horizontal="left" vertical="top"/>
    </xf>
    <xf numFmtId="0" fontId="49" fillId="0" borderId="0" xfId="0" applyFont="1" applyAlignment="1">
      <alignment horizontal="center"/>
    </xf>
    <xf numFmtId="0" fontId="25" fillId="6" borderId="36" xfId="0" applyFont="1" applyFill="1" applyBorder="1" applyAlignment="1">
      <alignment horizontal="justify" vertical="center"/>
    </xf>
    <xf numFmtId="0" fontId="12" fillId="6" borderId="3" xfId="0" applyFont="1" applyFill="1" applyBorder="1" applyAlignment="1">
      <alignment vertical="top"/>
    </xf>
    <xf numFmtId="170" fontId="12" fillId="6" borderId="2" xfId="0" applyNumberFormat="1" applyFont="1" applyFill="1" applyBorder="1" applyAlignment="1">
      <alignment vertical="top"/>
    </xf>
    <xf numFmtId="173" fontId="12" fillId="6" borderId="4" xfId="0" applyNumberFormat="1" applyFont="1" applyFill="1" applyBorder="1" applyAlignment="1">
      <alignment horizontal="left" vertical="top"/>
    </xf>
    <xf numFmtId="175" fontId="12" fillId="6" borderId="3" xfId="0" applyNumberFormat="1" applyFont="1" applyFill="1" applyBorder="1" applyAlignment="1">
      <alignment vertical="top"/>
    </xf>
    <xf numFmtId="186" fontId="12" fillId="6" borderId="3" xfId="0" applyNumberFormat="1" applyFont="1" applyFill="1" applyBorder="1" applyAlignment="1">
      <alignment horizontal="left" vertical="top"/>
    </xf>
    <xf numFmtId="1" fontId="12" fillId="6" borderId="25" xfId="0" applyNumberFormat="1" applyFont="1" applyFill="1" applyBorder="1" applyAlignment="1">
      <alignment vertical="top"/>
    </xf>
    <xf numFmtId="1" fontId="12" fillId="6" borderId="18" xfId="0" applyNumberFormat="1" applyFont="1" applyFill="1" applyBorder="1" applyAlignment="1">
      <alignment horizontal="left" vertical="top"/>
    </xf>
    <xf numFmtId="0" fontId="25" fillId="6" borderId="16" xfId="0" applyFont="1" applyFill="1" applyBorder="1" applyAlignment="1">
      <alignment horizontal="justify" vertical="center"/>
    </xf>
    <xf numFmtId="0" fontId="12" fillId="6" borderId="17" xfId="0" applyFont="1" applyFill="1" applyBorder="1" applyAlignment="1">
      <alignment vertical="top"/>
    </xf>
    <xf numFmtId="170" fontId="12" fillId="6" borderId="25" xfId="0" applyNumberFormat="1" applyFont="1" applyFill="1" applyBorder="1" applyAlignment="1">
      <alignment vertical="top"/>
    </xf>
    <xf numFmtId="0" fontId="12" fillId="6" borderId="26" xfId="0" applyFont="1" applyFill="1" applyBorder="1" applyAlignment="1">
      <alignment vertical="top"/>
    </xf>
    <xf numFmtId="175" fontId="12" fillId="6" borderId="17" xfId="0" applyNumberFormat="1" applyFont="1" applyFill="1" applyBorder="1" applyAlignment="1">
      <alignment vertical="top"/>
    </xf>
    <xf numFmtId="0" fontId="12" fillId="6" borderId="4" xfId="0" applyFont="1" applyFill="1" applyBorder="1" applyAlignment="1">
      <alignment vertical="top"/>
    </xf>
    <xf numFmtId="0" fontId="25" fillId="6" borderId="19" xfId="0" applyFont="1" applyFill="1" applyBorder="1" applyAlignment="1">
      <alignment horizontal="justify" vertical="center"/>
    </xf>
    <xf numFmtId="170" fontId="12" fillId="6" borderId="29" xfId="0" applyNumberFormat="1" applyFont="1" applyFill="1" applyBorder="1" applyAlignment="1">
      <alignment vertical="top"/>
    </xf>
    <xf numFmtId="0" fontId="12" fillId="6" borderId="30" xfId="0" applyFont="1" applyFill="1" applyBorder="1" applyAlignment="1">
      <alignment vertical="top"/>
    </xf>
    <xf numFmtId="175" fontId="12" fillId="6" borderId="20" xfId="0" applyNumberFormat="1" applyFont="1" applyFill="1" applyBorder="1" applyAlignment="1">
      <alignment vertical="top"/>
    </xf>
    <xf numFmtId="1" fontId="12" fillId="6" borderId="2" xfId="0" applyNumberFormat="1" applyFont="1" applyFill="1" applyBorder="1" applyAlignment="1">
      <alignment vertical="top"/>
    </xf>
    <xf numFmtId="1" fontId="12" fillId="6" borderId="37" xfId="0" applyNumberFormat="1" applyFont="1" applyFill="1" applyBorder="1" applyAlignment="1">
      <alignment horizontal="left" vertical="top"/>
    </xf>
    <xf numFmtId="182" fontId="12" fillId="6" borderId="4" xfId="0" applyNumberFormat="1" applyFont="1" applyFill="1" applyBorder="1" applyAlignment="1">
      <alignment horizontal="left" vertical="top"/>
    </xf>
    <xf numFmtId="0" fontId="12" fillId="6" borderId="37" xfId="0" applyFont="1" applyFill="1" applyBorder="1" applyAlignment="1">
      <alignment horizontal="left" vertical="top"/>
    </xf>
    <xf numFmtId="0" fontId="25" fillId="12" borderId="36" xfId="0" applyFont="1" applyFill="1" applyBorder="1" applyAlignment="1">
      <alignment horizontal="justify" vertical="center"/>
    </xf>
    <xf numFmtId="0" fontId="12" fillId="12" borderId="4" xfId="0" applyFont="1" applyFill="1" applyBorder="1" applyAlignment="1">
      <alignment vertical="top"/>
    </xf>
    <xf numFmtId="170" fontId="12" fillId="12" borderId="3" xfId="0" applyNumberFormat="1" applyFont="1" applyFill="1" applyBorder="1" applyAlignment="1">
      <alignment vertical="top"/>
    </xf>
    <xf numFmtId="182" fontId="12" fillId="12" borderId="4" xfId="0" applyNumberFormat="1" applyFont="1" applyFill="1" applyBorder="1" applyAlignment="1">
      <alignment horizontal="left" vertical="top"/>
    </xf>
    <xf numFmtId="175" fontId="12" fillId="12" borderId="3" xfId="0" applyNumberFormat="1" applyFont="1" applyFill="1" applyBorder="1" applyAlignment="1">
      <alignment vertical="top"/>
    </xf>
    <xf numFmtId="1" fontId="12" fillId="12" borderId="25" xfId="0" applyNumberFormat="1" applyFont="1" applyFill="1" applyBorder="1" applyAlignment="1">
      <alignment vertical="top"/>
    </xf>
    <xf numFmtId="1" fontId="12" fillId="12" borderId="18" xfId="0" applyNumberFormat="1" applyFont="1" applyFill="1" applyBorder="1" applyAlignment="1">
      <alignment horizontal="left" vertical="top"/>
    </xf>
    <xf numFmtId="0" fontId="25" fillId="12" borderId="16" xfId="0" applyFont="1" applyFill="1" applyBorder="1" applyAlignment="1">
      <alignment horizontal="justify" vertical="center"/>
    </xf>
    <xf numFmtId="0" fontId="12" fillId="12" borderId="17" xfId="0" applyFont="1" applyFill="1" applyBorder="1" applyAlignment="1">
      <alignment vertical="top"/>
    </xf>
    <xf numFmtId="170" fontId="12" fillId="12" borderId="25" xfId="0" applyNumberFormat="1" applyFont="1" applyFill="1" applyBorder="1" applyAlignment="1">
      <alignment vertical="top"/>
    </xf>
    <xf numFmtId="175" fontId="12" fillId="12" borderId="25" xfId="0" applyNumberFormat="1" applyFont="1" applyFill="1" applyBorder="1" applyAlignment="1">
      <alignment vertical="top"/>
    </xf>
    <xf numFmtId="0" fontId="12" fillId="12" borderId="26" xfId="0" applyFont="1" applyFill="1" applyBorder="1" applyAlignment="1">
      <alignment vertical="top"/>
    </xf>
    <xf numFmtId="0" fontId="25" fillId="12" borderId="36" xfId="0" applyFont="1" applyFill="1" applyBorder="1" applyAlignment="1">
      <alignment horizontal="left" vertical="center"/>
    </xf>
    <xf numFmtId="0" fontId="12" fillId="12" borderId="3" xfId="0" applyFont="1" applyFill="1" applyBorder="1" applyAlignment="1">
      <alignment vertical="top"/>
    </xf>
    <xf numFmtId="170" fontId="12" fillId="12" borderId="2" xfId="0" applyNumberFormat="1" applyFont="1" applyFill="1" applyBorder="1" applyAlignment="1">
      <alignment vertical="top"/>
    </xf>
    <xf numFmtId="175" fontId="12" fillId="12" borderId="2" xfId="0" applyNumberFormat="1" applyFont="1" applyFill="1" applyBorder="1" applyAlignment="1">
      <alignment vertical="top"/>
    </xf>
    <xf numFmtId="0" fontId="25" fillId="12" borderId="19" xfId="0" applyFont="1" applyFill="1" applyBorder="1" applyAlignment="1">
      <alignment horizontal="justify" vertical="center"/>
    </xf>
    <xf numFmtId="0" fontId="12" fillId="12" borderId="20" xfId="0" applyFont="1" applyFill="1" applyBorder="1" applyAlignment="1">
      <alignment vertical="top"/>
    </xf>
    <xf numFmtId="170" fontId="12" fillId="12" borderId="29" xfId="0" applyNumberFormat="1" applyFont="1" applyFill="1" applyBorder="1" applyAlignment="1">
      <alignment vertical="top"/>
    </xf>
    <xf numFmtId="175" fontId="12" fillId="12" borderId="29" xfId="0" applyNumberFormat="1" applyFont="1" applyFill="1" applyBorder="1" applyAlignment="1">
      <alignment vertical="top"/>
    </xf>
    <xf numFmtId="0" fontId="12" fillId="12" borderId="30" xfId="0" applyFont="1" applyFill="1" applyBorder="1" applyAlignment="1">
      <alignment vertical="top"/>
    </xf>
    <xf numFmtId="1" fontId="12" fillId="12" borderId="2" xfId="0" applyNumberFormat="1" applyFont="1" applyFill="1" applyBorder="1" applyAlignment="1">
      <alignment vertical="top"/>
    </xf>
    <xf numFmtId="1" fontId="12" fillId="12" borderId="37" xfId="0" applyNumberFormat="1" applyFont="1" applyFill="1" applyBorder="1" applyAlignment="1">
      <alignment horizontal="left" vertical="top"/>
    </xf>
    <xf numFmtId="173" fontId="12" fillId="12" borderId="4" xfId="0" applyNumberFormat="1" applyFont="1" applyFill="1" applyBorder="1" applyAlignment="1">
      <alignment horizontal="left" vertical="top"/>
    </xf>
    <xf numFmtId="186" fontId="12" fillId="12" borderId="3" xfId="0" applyNumberFormat="1" applyFont="1" applyFill="1" applyBorder="1" applyAlignment="1">
      <alignment horizontal="left" vertical="top"/>
    </xf>
    <xf numFmtId="0" fontId="11" fillId="11" borderId="22" xfId="0" applyFont="1" applyFill="1" applyBorder="1" applyAlignment="1">
      <alignment horizontal="justify" vertical="center"/>
    </xf>
    <xf numFmtId="0" fontId="12" fillId="11" borderId="23" xfId="0" applyFont="1" applyFill="1" applyBorder="1" applyAlignment="1">
      <alignment vertical="top"/>
    </xf>
    <xf numFmtId="170" fontId="11" fillId="11" borderId="23" xfId="0" applyNumberFormat="1" applyFont="1" applyFill="1" applyBorder="1" applyAlignment="1">
      <alignment vertical="top"/>
    </xf>
    <xf numFmtId="182" fontId="11" fillId="11" borderId="23" xfId="0" applyNumberFormat="1" applyFont="1" applyFill="1" applyBorder="1" applyAlignment="1">
      <alignment horizontal="left" vertical="top"/>
    </xf>
    <xf numFmtId="180" fontId="11" fillId="11" borderId="23" xfId="0" applyNumberFormat="1" applyFont="1" applyFill="1" applyBorder="1" applyAlignment="1">
      <alignment vertical="top"/>
    </xf>
    <xf numFmtId="173" fontId="11" fillId="11" borderId="23" xfId="0" applyNumberFormat="1" applyFont="1" applyFill="1" applyBorder="1" applyAlignment="1">
      <alignment horizontal="left" vertical="top"/>
    </xf>
    <xf numFmtId="0" fontId="11" fillId="11" borderId="23" xfId="0" applyNumberFormat="1" applyFont="1" applyFill="1" applyBorder="1" applyAlignment="1">
      <alignment vertical="top"/>
    </xf>
    <xf numFmtId="0" fontId="12" fillId="11" borderId="24" xfId="0" applyFont="1" applyFill="1" applyBorder="1" applyAlignment="1">
      <alignment vertical="top"/>
    </xf>
    <xf numFmtId="0" fontId="10" fillId="12" borderId="29" xfId="0" applyFont="1" applyFill="1" applyBorder="1"/>
    <xf numFmtId="0" fontId="10" fillId="12" borderId="20" xfId="0" applyFont="1" applyFill="1" applyBorder="1"/>
    <xf numFmtId="0" fontId="10" fillId="12" borderId="30" xfId="0" applyFont="1" applyFill="1" applyBorder="1"/>
    <xf numFmtId="175" fontId="12" fillId="12" borderId="17" xfId="0" applyNumberFormat="1" applyFont="1" applyFill="1" applyBorder="1" applyAlignment="1">
      <alignment vertical="top"/>
    </xf>
    <xf numFmtId="0" fontId="26" fillId="0" borderId="27" xfId="0" applyFont="1" applyFill="1" applyBorder="1" applyAlignment="1">
      <alignment horizontal="right" vertical="top"/>
    </xf>
    <xf numFmtId="0" fontId="0" fillId="0" borderId="28" xfId="0" applyFont="1" applyFill="1" applyBorder="1" applyAlignment="1">
      <alignment vertical="top"/>
    </xf>
    <xf numFmtId="0" fontId="0" fillId="0" borderId="28" xfId="0" applyFont="1" applyFill="1" applyBorder="1" applyAlignment="1">
      <alignment horizontal="right" vertical="top"/>
    </xf>
    <xf numFmtId="0" fontId="12" fillId="3" borderId="27" xfId="0" applyFont="1" applyFill="1" applyBorder="1" applyAlignment="1">
      <alignment horizontal="center"/>
    </xf>
    <xf numFmtId="0" fontId="0" fillId="0" borderId="0" xfId="0" applyFont="1" applyAlignment="1">
      <alignment horizontal="right"/>
    </xf>
    <xf numFmtId="0" fontId="0" fillId="0" borderId="0" xfId="0" applyFont="1" applyAlignment="1">
      <alignment horizontal="right" vertical="top"/>
    </xf>
    <xf numFmtId="49" fontId="24" fillId="0" borderId="0" xfId="0" applyNumberFormat="1" applyFont="1" applyAlignment="1">
      <alignment horizontal="left" vertical="top"/>
    </xf>
    <xf numFmtId="0" fontId="25" fillId="0" borderId="0" xfId="0" applyFont="1"/>
    <xf numFmtId="0" fontId="15" fillId="0" borderId="0" xfId="0" applyFont="1"/>
    <xf numFmtId="0" fontId="8" fillId="0" borderId="0" xfId="0" applyFont="1"/>
    <xf numFmtId="0" fontId="8" fillId="0" borderId="31" xfId="0" applyFont="1" applyBorder="1"/>
    <xf numFmtId="0" fontId="38" fillId="0" borderId="31" xfId="0" applyFont="1" applyBorder="1"/>
    <xf numFmtId="0" fontId="25" fillId="0" borderId="31" xfId="0" applyFont="1" applyBorder="1"/>
    <xf numFmtId="0" fontId="6" fillId="0" borderId="31" xfId="0" applyFont="1" applyBorder="1"/>
    <xf numFmtId="0" fontId="24" fillId="0" borderId="0" xfId="0" applyFont="1"/>
    <xf numFmtId="0" fontId="41" fillId="10" borderId="5" xfId="1" applyFont="1" applyFill="1" applyBorder="1" applyAlignment="1">
      <alignment horizontal="center" wrapText="1"/>
    </xf>
    <xf numFmtId="0" fontId="41" fillId="10" borderId="6" xfId="1" applyFont="1" applyFill="1" applyBorder="1" applyAlignment="1">
      <alignment horizontal="center" wrapText="1"/>
    </xf>
    <xf numFmtId="0" fontId="2" fillId="10" borderId="38" xfId="0" applyFont="1" applyFill="1" applyBorder="1"/>
    <xf numFmtId="0" fontId="55" fillId="10" borderId="31" xfId="0" applyFont="1" applyFill="1" applyBorder="1" applyAlignment="1">
      <alignment horizontal="center"/>
    </xf>
    <xf numFmtId="0" fontId="55" fillId="10" borderId="2" xfId="0" applyFont="1" applyFill="1" applyBorder="1" applyAlignment="1">
      <alignment horizontal="center"/>
    </xf>
    <xf numFmtId="0" fontId="55" fillId="10" borderId="4" xfId="0" applyFont="1" applyFill="1" applyBorder="1" applyAlignment="1">
      <alignment horizontal="center"/>
    </xf>
    <xf numFmtId="0" fontId="30" fillId="0" borderId="5" xfId="1" applyFont="1" applyBorder="1" applyAlignment="1">
      <alignment horizontal="center"/>
    </xf>
    <xf numFmtId="0" fontId="30" fillId="0" borderId="6" xfId="1" applyFont="1" applyBorder="1"/>
    <xf numFmtId="0" fontId="30" fillId="0" borderId="6" xfId="1" applyFont="1" applyBorder="1" applyAlignment="1">
      <alignment horizontal="center"/>
    </xf>
    <xf numFmtId="0" fontId="30" fillId="0" borderId="6" xfId="1" applyFont="1" applyBorder="1" applyAlignment="1">
      <alignment horizontal="right"/>
    </xf>
    <xf numFmtId="0" fontId="0" fillId="0" borderId="39" xfId="0" applyBorder="1" applyAlignment="1">
      <alignment horizontal="center"/>
    </xf>
    <xf numFmtId="0" fontId="16" fillId="0" borderId="0" xfId="0" applyFont="1" applyAlignment="1">
      <alignment horizontal="center" vertical="top"/>
    </xf>
    <xf numFmtId="0" fontId="25" fillId="0" borderId="2" xfId="0" applyFont="1" applyBorder="1" applyAlignment="1">
      <alignment horizontal="center"/>
    </xf>
    <xf numFmtId="174" fontId="34" fillId="0" borderId="3" xfId="0" applyNumberFormat="1" applyFont="1" applyBorder="1"/>
    <xf numFmtId="0" fontId="36" fillId="0" borderId="4" xfId="0" applyFont="1" applyBorder="1"/>
    <xf numFmtId="0" fontId="29" fillId="0" borderId="2" xfId="0" applyFont="1" applyBorder="1" applyAlignment="1">
      <alignment horizontal="center"/>
    </xf>
    <xf numFmtId="181" fontId="0" fillId="0" borderId="3" xfId="0" applyNumberFormat="1" applyBorder="1" applyAlignment="1">
      <alignment horizontal="right"/>
    </xf>
    <xf numFmtId="172" fontId="30" fillId="0" borderId="3" xfId="0" applyNumberFormat="1" applyFont="1" applyBorder="1"/>
    <xf numFmtId="0" fontId="0" fillId="0" borderId="31" xfId="0" applyBorder="1" applyAlignment="1">
      <alignment horizontal="center"/>
    </xf>
    <xf numFmtId="0" fontId="56" fillId="0" borderId="31" xfId="0" applyFont="1" applyBorder="1" applyAlignment="1">
      <alignment horizontal="left"/>
    </xf>
    <xf numFmtId="192" fontId="10" fillId="0" borderId="2" xfId="0" applyNumberFormat="1" applyFont="1" applyBorder="1" applyAlignment="1">
      <alignment horizontal="center"/>
    </xf>
    <xf numFmtId="192" fontId="10" fillId="0" borderId="4" xfId="0" applyNumberFormat="1" applyFont="1" applyBorder="1" applyAlignment="1">
      <alignment horizontal="center"/>
    </xf>
    <xf numFmtId="0" fontId="0" fillId="0" borderId="4" xfId="0" applyBorder="1"/>
    <xf numFmtId="0" fontId="30" fillId="0" borderId="14" xfId="1" applyFont="1" applyBorder="1" applyAlignment="1">
      <alignment horizontal="center"/>
    </xf>
    <xf numFmtId="0" fontId="30" fillId="0" borderId="0" xfId="1" applyFont="1"/>
    <xf numFmtId="0" fontId="30" fillId="0" borderId="0" xfId="1" applyFont="1" applyAlignment="1">
      <alignment horizontal="center"/>
    </xf>
    <xf numFmtId="0" fontId="30" fillId="0" borderId="0" xfId="1" applyFont="1" applyAlignment="1">
      <alignment horizontal="right"/>
    </xf>
    <xf numFmtId="0" fontId="6" fillId="0" borderId="2" xfId="0" applyFont="1" applyBorder="1" applyAlignment="1">
      <alignment horizontal="center"/>
    </xf>
    <xf numFmtId="0" fontId="25" fillId="0" borderId="31" xfId="0" applyFont="1" applyBorder="1" applyAlignment="1">
      <alignment horizontal="left"/>
    </xf>
    <xf numFmtId="0" fontId="6" fillId="0" borderId="31" xfId="0" applyFont="1" applyBorder="1" applyAlignment="1">
      <alignment horizontal="left"/>
    </xf>
    <xf numFmtId="0" fontId="30" fillId="0" borderId="16" xfId="1" applyFont="1" applyBorder="1" applyAlignment="1">
      <alignment horizontal="center"/>
    </xf>
    <xf numFmtId="0" fontId="30" fillId="0" borderId="17" xfId="1" applyFont="1" applyBorder="1"/>
    <xf numFmtId="0" fontId="30" fillId="0" borderId="17" xfId="1" applyFont="1" applyBorder="1" applyAlignment="1">
      <alignment horizontal="center"/>
    </xf>
    <xf numFmtId="0" fontId="30" fillId="0" borderId="17" xfId="1" applyFont="1" applyBorder="1" applyAlignment="1">
      <alignment horizontal="right"/>
    </xf>
    <xf numFmtId="181" fontId="12" fillId="0" borderId="3" xfId="0" applyNumberFormat="1" applyFont="1" applyBorder="1" applyAlignment="1">
      <alignment horizontal="right"/>
    </xf>
    <xf numFmtId="0" fontId="30" fillId="0" borderId="19" xfId="1" applyFont="1" applyBorder="1" applyAlignment="1">
      <alignment horizontal="center"/>
    </xf>
    <xf numFmtId="0" fontId="30" fillId="0" borderId="20" xfId="1" applyFont="1" applyBorder="1"/>
    <xf numFmtId="0" fontId="30" fillId="0" borderId="20" xfId="1" applyFont="1" applyBorder="1" applyAlignment="1">
      <alignment horizontal="center"/>
    </xf>
    <xf numFmtId="0" fontId="30" fillId="0" borderId="20" xfId="1" applyFont="1" applyBorder="1" applyAlignment="1">
      <alignment horizontal="right"/>
    </xf>
    <xf numFmtId="0" fontId="30" fillId="7" borderId="14" xfId="1" applyFont="1" applyFill="1" applyBorder="1" applyAlignment="1">
      <alignment horizontal="center"/>
    </xf>
    <xf numFmtId="0" fontId="30" fillId="7" borderId="0" xfId="1" applyFont="1" applyFill="1"/>
    <xf numFmtId="0" fontId="30" fillId="7" borderId="0" xfId="1" applyFont="1" applyFill="1" applyAlignment="1">
      <alignment horizontal="center"/>
    </xf>
    <xf numFmtId="0" fontId="30" fillId="7" borderId="0" xfId="1" applyFont="1" applyFill="1" applyAlignment="1">
      <alignment horizontal="right"/>
    </xf>
    <xf numFmtId="0" fontId="0" fillId="7" borderId="39" xfId="0" applyFill="1" applyBorder="1" applyAlignment="1">
      <alignment horizontal="center"/>
    </xf>
    <xf numFmtId="0" fontId="30" fillId="0" borderId="40" xfId="1" applyFont="1" applyBorder="1" applyAlignment="1">
      <alignment horizontal="center"/>
    </xf>
    <xf numFmtId="0" fontId="30" fillId="0" borderId="41" xfId="1" applyFont="1" applyBorder="1"/>
    <xf numFmtId="0" fontId="30" fillId="0" borderId="41" xfId="1" applyFont="1" applyBorder="1" applyAlignment="1">
      <alignment horizontal="center"/>
    </xf>
    <xf numFmtId="0" fontId="30" fillId="0" borderId="41" xfId="1" applyFont="1" applyBorder="1" applyAlignment="1">
      <alignment horizontal="right"/>
    </xf>
    <xf numFmtId="0" fontId="0" fillId="0" borderId="42" xfId="0" applyBorder="1"/>
    <xf numFmtId="0" fontId="0" fillId="0" borderId="0" xfId="0" applyFont="1"/>
    <xf numFmtId="0" fontId="0" fillId="0" borderId="0" xfId="0" applyFont="1" applyFill="1" applyAlignment="1">
      <alignment horizontal="justify"/>
    </xf>
    <xf numFmtId="0" fontId="6" fillId="0" borderId="0" xfId="0" applyFont="1" applyFill="1" applyAlignment="1">
      <alignment horizontal="justify" vertical="top"/>
    </xf>
    <xf numFmtId="0" fontId="0" fillId="0" borderId="0" xfId="0" applyFont="1" applyFill="1" applyAlignment="1">
      <alignment horizontal="right" vertical="top"/>
    </xf>
    <xf numFmtId="195" fontId="10" fillId="0" borderId="3" xfId="0" applyNumberFormat="1" applyFont="1" applyBorder="1" applyAlignment="1">
      <alignment horizontal="right"/>
    </xf>
    <xf numFmtId="195" fontId="44" fillId="0" borderId="3" xfId="0" applyNumberFormat="1" applyFont="1" applyBorder="1" applyAlignment="1">
      <alignment horizontal="right"/>
    </xf>
    <xf numFmtId="0" fontId="12" fillId="4" borderId="0" xfId="0" applyFont="1" applyFill="1" applyAlignment="1">
      <alignment horizontal="left" vertical="top" wrapText="1"/>
    </xf>
    <xf numFmtId="0" fontId="61" fillId="4" borderId="0" xfId="0" applyFont="1" applyFill="1" applyAlignment="1">
      <alignment vertical="top" wrapText="1"/>
    </xf>
    <xf numFmtId="0" fontId="61" fillId="4" borderId="0" xfId="0" applyFont="1" applyFill="1" applyBorder="1" applyAlignment="1">
      <alignment horizontal="right" vertical="top"/>
    </xf>
    <xf numFmtId="0" fontId="61" fillId="4" borderId="0" xfId="0" applyFont="1" applyFill="1" applyBorder="1" applyAlignment="1">
      <alignment horizontal="right" vertical="top" wrapText="1"/>
    </xf>
    <xf numFmtId="0" fontId="60" fillId="0" borderId="0" xfId="0" applyFont="1" applyAlignment="1">
      <alignment vertical="top"/>
    </xf>
    <xf numFmtId="0" fontId="8" fillId="0" borderId="0" xfId="0" applyFont="1" applyFill="1" applyAlignment="1">
      <alignment horizontal="justify" vertical="top"/>
    </xf>
    <xf numFmtId="0" fontId="12" fillId="4" borderId="0" xfId="0" quotePrefix="1" applyFont="1" applyFill="1" applyAlignment="1">
      <alignment horizontal="right" vertical="top" wrapText="1"/>
    </xf>
    <xf numFmtId="0" fontId="12" fillId="4" borderId="0" xfId="0" applyFont="1" applyFill="1" applyAlignment="1">
      <alignment horizontal="left" vertical="top"/>
    </xf>
    <xf numFmtId="0" fontId="12" fillId="4" borderId="0" xfId="0" applyFont="1" applyFill="1" applyAlignment="1">
      <alignment horizontal="right" vertical="top" wrapText="1"/>
    </xf>
    <xf numFmtId="196" fontId="12" fillId="4" borderId="0" xfId="0" applyNumberFormat="1" applyFont="1" applyFill="1" applyAlignment="1">
      <alignment horizontal="right" vertical="top" wrapText="1"/>
    </xf>
    <xf numFmtId="197" fontId="12" fillId="4" borderId="0" xfId="0" applyNumberFormat="1" applyFont="1" applyFill="1" applyAlignment="1">
      <alignment horizontal="right" vertical="top" wrapText="1"/>
    </xf>
    <xf numFmtId="198" fontId="12" fillId="4" borderId="0" xfId="0" applyNumberFormat="1" applyFont="1" applyFill="1" applyAlignment="1">
      <alignment horizontal="right" vertical="top" wrapText="1"/>
    </xf>
    <xf numFmtId="199" fontId="12" fillId="4" borderId="0" xfId="0" applyNumberFormat="1" applyFont="1" applyFill="1" applyAlignment="1">
      <alignment horizontal="right" vertical="top" wrapText="1"/>
    </xf>
    <xf numFmtId="0" fontId="13" fillId="4" borderId="0" xfId="0" applyFont="1" applyFill="1" applyAlignment="1">
      <alignment horizontal="left" vertical="top"/>
    </xf>
    <xf numFmtId="0" fontId="12" fillId="13" borderId="43" xfId="0" applyNumberFormat="1" applyFont="1" applyFill="1" applyBorder="1" applyAlignment="1">
      <alignment horizontal="left" wrapText="1"/>
    </xf>
    <xf numFmtId="0" fontId="67" fillId="4" borderId="0" xfId="0" applyFont="1" applyFill="1" applyBorder="1" applyAlignment="1">
      <alignment horizontal="right" vertical="top" wrapText="1"/>
    </xf>
    <xf numFmtId="0" fontId="67" fillId="4" borderId="0" xfId="0" applyFont="1" applyFill="1" applyBorder="1" applyAlignment="1">
      <alignment horizontal="left" vertical="top" wrapText="1"/>
    </xf>
    <xf numFmtId="0" fontId="68" fillId="14" borderId="43" xfId="0" applyFont="1" applyFill="1" applyBorder="1" applyAlignment="1">
      <alignment horizontal="right" vertical="top" wrapText="1"/>
    </xf>
    <xf numFmtId="0" fontId="67" fillId="4" borderId="0" xfId="0" applyFont="1" applyFill="1" applyAlignment="1">
      <alignment horizontal="right" vertical="top" wrapText="1"/>
    </xf>
    <xf numFmtId="0" fontId="67" fillId="4" borderId="0" xfId="0" applyFont="1" applyFill="1" applyAlignment="1">
      <alignment horizontal="left" vertical="top" wrapText="1"/>
    </xf>
    <xf numFmtId="0" fontId="67" fillId="4" borderId="0" xfId="0" applyFont="1" applyFill="1" applyAlignment="1">
      <alignment horizontal="left" vertical="top"/>
    </xf>
    <xf numFmtId="0" fontId="14" fillId="4" borderId="0" xfId="0" applyFont="1" applyFill="1" applyAlignment="1">
      <alignment horizontal="left" wrapText="1"/>
    </xf>
    <xf numFmtId="0" fontId="67" fillId="4" borderId="0" xfId="0" quotePrefix="1" applyFont="1" applyFill="1" applyAlignment="1">
      <alignment horizontal="right" vertical="top" wrapText="1"/>
    </xf>
    <xf numFmtId="20" fontId="12" fillId="4" borderId="0" xfId="0" applyNumberFormat="1" applyFont="1" applyFill="1" applyAlignment="1">
      <alignment horizontal="left" vertical="top" wrapText="1"/>
    </xf>
    <xf numFmtId="0" fontId="69" fillId="4" borderId="0" xfId="0" applyFont="1" applyFill="1" applyAlignment="1">
      <alignment horizontal="right" vertical="top" wrapText="1"/>
    </xf>
    <xf numFmtId="0" fontId="69" fillId="4" borderId="0" xfId="0" applyFont="1" applyFill="1" applyAlignment="1">
      <alignment horizontal="left" vertical="top" wrapText="1"/>
    </xf>
    <xf numFmtId="0" fontId="6" fillId="16" borderId="5" xfId="0" applyFont="1" applyFill="1" applyBorder="1" applyAlignment="1">
      <alignment horizontal="left" vertical="top"/>
    </xf>
    <xf numFmtId="0" fontId="0" fillId="16" borderId="6" xfId="0" applyFont="1" applyFill="1" applyBorder="1" applyAlignment="1">
      <alignment horizontal="left" vertical="top"/>
    </xf>
    <xf numFmtId="1" fontId="0" fillId="16" borderId="7" xfId="0" applyNumberFormat="1" applyFont="1" applyFill="1" applyBorder="1" applyAlignment="1">
      <alignment horizontal="right" vertical="top"/>
    </xf>
    <xf numFmtId="0" fontId="6" fillId="16" borderId="8" xfId="0" applyFont="1" applyFill="1" applyBorder="1" applyAlignment="1">
      <alignment vertical="top"/>
    </xf>
    <xf numFmtId="0" fontId="0" fillId="16" borderId="9" xfId="0" applyFont="1" applyFill="1" applyBorder="1" applyAlignment="1">
      <alignment vertical="top"/>
    </xf>
    <xf numFmtId="1" fontId="0" fillId="16" borderId="10" xfId="0" applyNumberFormat="1" applyFont="1" applyFill="1" applyBorder="1" applyAlignment="1">
      <alignment vertical="top"/>
    </xf>
    <xf numFmtId="0" fontId="6" fillId="16" borderId="11" xfId="0" applyFont="1" applyFill="1" applyBorder="1" applyAlignment="1">
      <alignment vertical="top"/>
    </xf>
    <xf numFmtId="0" fontId="0" fillId="16" borderId="12" xfId="0" applyFont="1" applyFill="1" applyBorder="1" applyAlignment="1">
      <alignment vertical="top"/>
    </xf>
    <xf numFmtId="1" fontId="0" fillId="16" borderId="13" xfId="0" applyNumberFormat="1" applyFont="1" applyFill="1" applyBorder="1" applyAlignment="1">
      <alignment vertical="top"/>
    </xf>
    <xf numFmtId="0" fontId="6" fillId="16" borderId="14" xfId="0" applyFont="1" applyFill="1" applyBorder="1" applyAlignment="1">
      <alignment vertical="top"/>
    </xf>
    <xf numFmtId="0" fontId="0" fillId="16" borderId="0" xfId="0" applyFont="1" applyFill="1" applyAlignment="1">
      <alignment vertical="top"/>
    </xf>
    <xf numFmtId="0" fontId="0" fillId="16" borderId="15" xfId="0" applyFont="1" applyFill="1" applyBorder="1" applyAlignment="1">
      <alignment vertical="top"/>
    </xf>
    <xf numFmtId="0" fontId="6" fillId="16" borderId="22" xfId="0" applyFont="1" applyFill="1" applyBorder="1" applyAlignment="1">
      <alignment vertical="top"/>
    </xf>
    <xf numFmtId="0" fontId="0" fillId="16" borderId="23" xfId="0" applyFont="1" applyFill="1" applyBorder="1" applyAlignment="1">
      <alignment vertical="top"/>
    </xf>
    <xf numFmtId="0" fontId="0" fillId="16" borderId="24" xfId="0" applyFont="1" applyFill="1" applyBorder="1" applyAlignment="1">
      <alignment vertical="top"/>
    </xf>
    <xf numFmtId="1" fontId="0" fillId="16" borderId="15" xfId="0" applyNumberFormat="1" applyFont="1" applyFill="1" applyBorder="1" applyAlignment="1">
      <alignment vertical="top"/>
    </xf>
    <xf numFmtId="49" fontId="11" fillId="5" borderId="0" xfId="0" applyNumberFormat="1" applyFont="1" applyFill="1" applyAlignment="1">
      <alignment horizontal="left"/>
    </xf>
    <xf numFmtId="0" fontId="38" fillId="5" borderId="0" xfId="0" applyFont="1" applyFill="1" applyAlignment="1"/>
    <xf numFmtId="49" fontId="0" fillId="0" borderId="0" xfId="0" applyNumberFormat="1" applyFont="1" applyFill="1" applyAlignment="1">
      <alignment horizontal="right"/>
    </xf>
    <xf numFmtId="0" fontId="47" fillId="2" borderId="0" xfId="0" applyFont="1" applyFill="1" applyAlignment="1">
      <alignment horizontal="left"/>
    </xf>
    <xf numFmtId="0" fontId="0" fillId="0" borderId="0" xfId="0" applyFont="1" applyFill="1" applyAlignment="1">
      <alignment horizontal="right"/>
    </xf>
    <xf numFmtId="0" fontId="0" fillId="0" borderId="0" xfId="0" applyAlignment="1">
      <alignment horizontal="right"/>
    </xf>
    <xf numFmtId="0" fontId="6" fillId="0" borderId="5" xfId="0" applyFont="1" applyFill="1" applyBorder="1" applyAlignment="1">
      <alignment vertical="top"/>
    </xf>
    <xf numFmtId="0" fontId="0" fillId="0" borderId="6" xfId="0" applyFont="1" applyFill="1" applyBorder="1" applyAlignment="1">
      <alignment vertical="top"/>
    </xf>
    <xf numFmtId="0" fontId="6" fillId="0" borderId="14" xfId="0" applyFont="1" applyFill="1" applyBorder="1" applyAlignment="1">
      <alignment horizontal="left" vertical="top"/>
    </xf>
    <xf numFmtId="0" fontId="6" fillId="0" borderId="14" xfId="0" applyFont="1" applyFill="1" applyBorder="1" applyAlignment="1">
      <alignment vertical="top"/>
    </xf>
    <xf numFmtId="0" fontId="0" fillId="0" borderId="15" xfId="0" applyFont="1" applyFill="1" applyBorder="1" applyAlignment="1">
      <alignment vertical="top"/>
    </xf>
    <xf numFmtId="0" fontId="0" fillId="0" borderId="7" xfId="0" applyNumberFormat="1" applyFont="1" applyFill="1" applyBorder="1" applyAlignment="1">
      <alignment vertical="top"/>
    </xf>
    <xf numFmtId="0" fontId="0" fillId="0" borderId="15" xfId="0" applyNumberFormat="1" applyFont="1" applyFill="1" applyBorder="1" applyAlignment="1">
      <alignment horizontal="right" vertical="top"/>
    </xf>
    <xf numFmtId="0" fontId="6" fillId="17" borderId="14" xfId="0" applyFont="1" applyFill="1" applyBorder="1" applyAlignment="1">
      <alignment vertical="top"/>
    </xf>
    <xf numFmtId="0" fontId="0" fillId="17" borderId="0" xfId="0" applyFont="1" applyFill="1" applyAlignment="1">
      <alignment vertical="top"/>
    </xf>
    <xf numFmtId="0" fontId="0" fillId="17" borderId="15" xfId="0" applyFont="1" applyFill="1" applyBorder="1" applyAlignment="1">
      <alignment vertical="top"/>
    </xf>
    <xf numFmtId="0" fontId="6" fillId="17" borderId="22" xfId="0" applyFont="1" applyFill="1" applyBorder="1" applyAlignment="1">
      <alignment vertical="top"/>
    </xf>
    <xf numFmtId="0" fontId="0" fillId="17" borderId="23" xfId="0" applyFont="1" applyFill="1" applyBorder="1" applyAlignment="1">
      <alignment vertical="top"/>
    </xf>
    <xf numFmtId="0" fontId="0" fillId="17" borderId="24" xfId="0" applyFont="1" applyFill="1" applyBorder="1" applyAlignment="1">
      <alignment vertical="top"/>
    </xf>
    <xf numFmtId="0" fontId="6" fillId="18" borderId="14" xfId="0" applyFont="1" applyFill="1" applyBorder="1" applyAlignment="1">
      <alignment vertical="top"/>
    </xf>
    <xf numFmtId="0" fontId="0" fillId="18" borderId="0" xfId="0" applyFont="1" applyFill="1" applyAlignment="1">
      <alignment vertical="top"/>
    </xf>
    <xf numFmtId="1" fontId="0" fillId="18" borderId="15" xfId="0" applyNumberFormat="1" applyFont="1" applyFill="1" applyBorder="1" applyAlignment="1">
      <alignment vertical="top"/>
    </xf>
    <xf numFmtId="0" fontId="6" fillId="18" borderId="16" xfId="0" applyFont="1" applyFill="1" applyBorder="1" applyAlignment="1">
      <alignment vertical="top"/>
    </xf>
    <xf numFmtId="0" fontId="0" fillId="18" borderId="17" xfId="0" applyFont="1" applyFill="1" applyBorder="1" applyAlignment="1">
      <alignment vertical="top"/>
    </xf>
    <xf numFmtId="0" fontId="0" fillId="18" borderId="18" xfId="0" applyFont="1" applyFill="1" applyBorder="1" applyAlignment="1">
      <alignment vertical="top"/>
    </xf>
    <xf numFmtId="0" fontId="6" fillId="18" borderId="19" xfId="0" applyFont="1" applyFill="1" applyBorder="1" applyAlignment="1">
      <alignment vertical="top"/>
    </xf>
    <xf numFmtId="0" fontId="0" fillId="18" borderId="20" xfId="0" applyFont="1" applyFill="1" applyBorder="1" applyAlignment="1">
      <alignment vertical="top"/>
    </xf>
    <xf numFmtId="0" fontId="0" fillId="18" borderId="21" xfId="0" applyFont="1" applyFill="1" applyBorder="1" applyAlignment="1">
      <alignment vertical="top"/>
    </xf>
    <xf numFmtId="49" fontId="0" fillId="0" borderId="0" xfId="0" applyNumberFormat="1" applyFont="1" applyFill="1" applyAlignment="1">
      <alignment horizontal="right" vertical="top"/>
    </xf>
    <xf numFmtId="49" fontId="11" fillId="5" borderId="0" xfId="0" applyNumberFormat="1" applyFont="1" applyFill="1" applyAlignment="1">
      <alignment horizontal="left" vertical="top"/>
    </xf>
    <xf numFmtId="0" fontId="38" fillId="5" borderId="0" xfId="0" applyFont="1" applyFill="1" applyAlignment="1">
      <alignment vertical="top"/>
    </xf>
    <xf numFmtId="0" fontId="72" fillId="15" borderId="0" xfId="0" applyFont="1" applyFill="1" applyAlignment="1">
      <alignment horizontal="right" vertical="top"/>
    </xf>
    <xf numFmtId="0" fontId="72" fillId="15" borderId="0" xfId="0" applyFont="1" applyFill="1" applyBorder="1" applyAlignment="1">
      <alignment horizontal="right" vertical="top"/>
    </xf>
    <xf numFmtId="0" fontId="68" fillId="19" borderId="0" xfId="0" applyFont="1" applyFill="1" applyBorder="1"/>
    <xf numFmtId="0" fontId="73" fillId="15" borderId="0" xfId="0" applyFont="1" applyFill="1" applyBorder="1" applyAlignment="1">
      <alignment horizontal="left"/>
    </xf>
    <xf numFmtId="0" fontId="68" fillId="15" borderId="0" xfId="0" applyFont="1" applyFill="1" applyBorder="1" applyAlignment="1">
      <alignment vertical="top"/>
    </xf>
    <xf numFmtId="0" fontId="71" fillId="15" borderId="0" xfId="0" applyFont="1" applyFill="1" applyBorder="1" applyAlignment="1">
      <alignment horizontal="left"/>
    </xf>
    <xf numFmtId="0" fontId="32" fillId="0" borderId="0" xfId="0" applyFont="1" applyBorder="1" applyAlignment="1">
      <alignment horizontal="right" vertical="top"/>
    </xf>
    <xf numFmtId="0" fontId="0" fillId="0" borderId="0" xfId="0" applyBorder="1"/>
    <xf numFmtId="0" fontId="14" fillId="0" borderId="0" xfId="0" applyFont="1" applyBorder="1" applyAlignment="1">
      <alignment horizontal="left"/>
    </xf>
    <xf numFmtId="0" fontId="12" fillId="0" borderId="0" xfId="0" applyFont="1" applyBorder="1" applyAlignment="1">
      <alignment vertical="top"/>
    </xf>
    <xf numFmtId="0" fontId="28" fillId="0" borderId="0" xfId="0" applyFont="1" applyBorder="1" applyAlignment="1">
      <alignment horizontal="left"/>
    </xf>
    <xf numFmtId="0" fontId="6" fillId="2" borderId="31" xfId="0" applyFont="1" applyFill="1" applyBorder="1" applyAlignment="1">
      <alignment vertical="top"/>
    </xf>
    <xf numFmtId="0" fontId="70" fillId="8" borderId="31" xfId="0" applyFont="1" applyFill="1" applyBorder="1" applyAlignment="1"/>
    <xf numFmtId="0" fontId="32" fillId="0" borderId="0" xfId="0" applyFont="1" applyBorder="1" applyAlignment="1">
      <alignment horizontal="right"/>
    </xf>
    <xf numFmtId="0" fontId="35" fillId="0" borderId="0" xfId="0" applyFont="1" applyBorder="1" applyAlignment="1">
      <alignment horizontal="right"/>
    </xf>
    <xf numFmtId="174" fontId="68" fillId="20" borderId="25" xfId="0" applyNumberFormat="1" applyFont="1" applyFill="1" applyBorder="1" applyAlignment="1">
      <alignment horizontal="center" vertical="center"/>
    </xf>
    <xf numFmtId="0" fontId="76" fillId="20" borderId="17" xfId="0" applyFont="1" applyFill="1" applyBorder="1" applyAlignment="1">
      <alignment horizontal="left" vertical="top"/>
    </xf>
    <xf numFmtId="0" fontId="76" fillId="20" borderId="17" xfId="0" applyFont="1" applyFill="1" applyBorder="1" applyAlignment="1">
      <alignment horizontal="right" vertical="top"/>
    </xf>
    <xf numFmtId="0" fontId="78" fillId="20" borderId="17" xfId="0" applyFont="1" applyFill="1" applyBorder="1" applyAlignment="1">
      <alignment horizontal="left"/>
    </xf>
    <xf numFmtId="0" fontId="77" fillId="20" borderId="17" xfId="0" applyFont="1" applyFill="1" applyBorder="1" applyAlignment="1">
      <alignment vertical="top"/>
    </xf>
    <xf numFmtId="0" fontId="77" fillId="20" borderId="26" xfId="0" applyFont="1" applyFill="1" applyBorder="1" applyAlignment="1">
      <alignment vertical="top"/>
    </xf>
    <xf numFmtId="0" fontId="76" fillId="15" borderId="0" xfId="0" applyFont="1" applyFill="1" applyAlignment="1">
      <alignment horizontal="left" vertical="top"/>
    </xf>
    <xf numFmtId="0" fontId="76" fillId="15" borderId="0" xfId="0" applyFont="1" applyFill="1" applyAlignment="1">
      <alignment horizontal="right" vertical="top"/>
    </xf>
    <xf numFmtId="0" fontId="78" fillId="15" borderId="0" xfId="0" applyFont="1" applyFill="1" applyAlignment="1">
      <alignment horizontal="left"/>
    </xf>
    <xf numFmtId="0" fontId="77" fillId="15" borderId="0" xfId="0" applyFont="1" applyFill="1" applyAlignment="1">
      <alignment vertical="top"/>
    </xf>
    <xf numFmtId="0" fontId="77" fillId="15" borderId="28" xfId="0" applyFont="1" applyFill="1" applyBorder="1" applyAlignment="1">
      <alignment vertical="top"/>
    </xf>
    <xf numFmtId="0" fontId="76" fillId="20" borderId="0" xfId="0" applyFont="1" applyFill="1" applyAlignment="1">
      <alignment horizontal="left" vertical="top"/>
    </xf>
    <xf numFmtId="0" fontId="76" fillId="20" borderId="0" xfId="0" applyFont="1" applyFill="1" applyAlignment="1">
      <alignment horizontal="right" vertical="top"/>
    </xf>
    <xf numFmtId="0" fontId="78" fillId="20" borderId="0" xfId="0" applyFont="1" applyFill="1" applyAlignment="1">
      <alignment horizontal="left"/>
    </xf>
    <xf numFmtId="0" fontId="77" fillId="20" borderId="0" xfId="0" applyFont="1" applyFill="1" applyAlignment="1">
      <alignment vertical="top"/>
    </xf>
    <xf numFmtId="0" fontId="77" fillId="20" borderId="28" xfId="0" applyFont="1" applyFill="1" applyBorder="1" applyAlignment="1">
      <alignment vertical="top"/>
    </xf>
    <xf numFmtId="0" fontId="72" fillId="20" borderId="0" xfId="0" applyFont="1" applyFill="1" applyAlignment="1">
      <alignment horizontal="right" vertical="top"/>
    </xf>
    <xf numFmtId="0" fontId="72" fillId="20" borderId="20" xfId="0" applyFont="1" applyFill="1" applyBorder="1" applyAlignment="1">
      <alignment horizontal="right" vertical="top"/>
    </xf>
    <xf numFmtId="12" fontId="12" fillId="9" borderId="0" xfId="0" applyNumberFormat="1" applyFont="1" applyFill="1"/>
    <xf numFmtId="12" fontId="12" fillId="3" borderId="0" xfId="0" applyNumberFormat="1" applyFont="1" applyFill="1"/>
    <xf numFmtId="0" fontId="79" fillId="0" borderId="0" xfId="0" applyFont="1"/>
    <xf numFmtId="0" fontId="80" fillId="4" borderId="0" xfId="0" applyFont="1" applyFill="1"/>
    <xf numFmtId="0" fontId="12" fillId="4" borderId="0" xfId="0" applyFont="1" applyFill="1" applyAlignment="1">
      <alignment horizontal="right" vertical="center"/>
    </xf>
    <xf numFmtId="0" fontId="20" fillId="4" borderId="0" xfId="0" applyFont="1" applyFill="1" applyAlignment="1">
      <alignment vertical="center"/>
    </xf>
    <xf numFmtId="0" fontId="12" fillId="4" borderId="0" xfId="0" applyFont="1" applyFill="1" applyAlignment="1">
      <alignment vertical="center"/>
    </xf>
    <xf numFmtId="0" fontId="61" fillId="4" borderId="0" xfId="0" applyFont="1" applyFill="1" applyBorder="1" applyAlignment="1">
      <alignment horizontal="right" vertical="center" wrapText="1"/>
    </xf>
    <xf numFmtId="0" fontId="61" fillId="4" borderId="0" xfId="0" applyFont="1" applyFill="1" applyBorder="1" applyAlignment="1">
      <alignment horizontal="right" vertical="center"/>
    </xf>
    <xf numFmtId="0" fontId="61" fillId="4" borderId="0" xfId="0" applyFont="1" applyFill="1" applyAlignment="1">
      <alignment vertical="center" wrapText="1"/>
    </xf>
    <xf numFmtId="0" fontId="81" fillId="4" borderId="0" xfId="0" applyFont="1" applyFill="1"/>
    <xf numFmtId="0" fontId="79" fillId="4" borderId="0" xfId="0" applyFont="1" applyFill="1" applyAlignment="1">
      <alignment horizontal="left"/>
    </xf>
    <xf numFmtId="0" fontId="79" fillId="4" borderId="0" xfId="0" applyFont="1" applyFill="1" applyAlignment="1">
      <alignment vertical="top"/>
    </xf>
    <xf numFmtId="164" fontId="79" fillId="4" borderId="0" xfId="0" applyNumberFormat="1" applyFont="1" applyFill="1" applyAlignment="1">
      <alignment wrapText="1"/>
    </xf>
    <xf numFmtId="0" fontId="81" fillId="4" borderId="0" xfId="0" applyFont="1" applyFill="1" applyAlignment="1">
      <alignment vertical="center"/>
    </xf>
    <xf numFmtId="0" fontId="0" fillId="4" borderId="0" xfId="0" applyFont="1" applyFill="1" applyAlignment="1">
      <alignment horizontal="right" vertical="center"/>
    </xf>
    <xf numFmtId="0" fontId="0" fillId="13" borderId="43" xfId="0" applyNumberFormat="1" applyFont="1" applyFill="1" applyBorder="1" applyAlignment="1">
      <alignment vertical="center" wrapText="1"/>
    </xf>
    <xf numFmtId="0" fontId="57" fillId="4" borderId="0" xfId="0" applyFont="1" applyFill="1" applyAlignment="1">
      <alignment vertical="center"/>
    </xf>
    <xf numFmtId="200" fontId="0" fillId="4" borderId="0" xfId="0" applyNumberFormat="1" applyFont="1" applyFill="1" applyAlignment="1">
      <alignment vertical="center"/>
    </xf>
    <xf numFmtId="0" fontId="61" fillId="4" borderId="0" xfId="0" quotePrefix="1" applyFont="1" applyFill="1" applyAlignment="1">
      <alignment horizontal="left" vertical="top"/>
    </xf>
    <xf numFmtId="201" fontId="67" fillId="4" borderId="0" xfId="0" quotePrefix="1" applyNumberFormat="1" applyFont="1" applyFill="1" applyAlignment="1">
      <alignment horizontal="right" vertical="top" wrapText="1"/>
    </xf>
    <xf numFmtId="0" fontId="12" fillId="9" borderId="27" xfId="0" applyFont="1" applyFill="1" applyBorder="1" applyAlignment="1">
      <alignment horizontal="center" vertical="center"/>
    </xf>
    <xf numFmtId="202" fontId="0" fillId="0" borderId="0" xfId="0" applyNumberFormat="1"/>
    <xf numFmtId="0" fontId="6" fillId="0" borderId="0" xfId="0" applyFont="1" applyFill="1" applyAlignment="1">
      <alignment horizontal="justify" vertical="center"/>
    </xf>
    <xf numFmtId="0" fontId="0" fillId="0" borderId="0" xfId="0" applyFont="1" applyFill="1" applyAlignment="1">
      <alignment horizontal="right" vertical="top"/>
    </xf>
    <xf numFmtId="0" fontId="75" fillId="0" borderId="0" xfId="0" applyFont="1"/>
    <xf numFmtId="0" fontId="75" fillId="0" borderId="0" xfId="0" applyFont="1" applyAlignment="1">
      <alignment horizontal="right"/>
    </xf>
    <xf numFmtId="0" fontId="61" fillId="4" borderId="0" xfId="0" quotePrefix="1" applyFont="1" applyFill="1" applyAlignment="1">
      <alignment horizontal="right" vertical="top" wrapText="1"/>
    </xf>
    <xf numFmtId="0" fontId="61" fillId="4" borderId="0" xfId="0" quotePrefix="1" applyFont="1" applyFill="1" applyAlignment="1">
      <alignment horizontal="center" vertical="top" wrapText="1"/>
    </xf>
    <xf numFmtId="203" fontId="61" fillId="4" borderId="0" xfId="0" quotePrefix="1" applyNumberFormat="1" applyFont="1" applyFill="1" applyAlignment="1">
      <alignment horizontal="right" vertical="top" wrapText="1"/>
    </xf>
    <xf numFmtId="203" fontId="66" fillId="4" borderId="0" xfId="0" quotePrefix="1" applyNumberFormat="1" applyFont="1" applyFill="1" applyAlignment="1">
      <alignment horizontal="right" vertical="top" wrapText="1"/>
    </xf>
    <xf numFmtId="204" fontId="61" fillId="4" borderId="0" xfId="0" quotePrefix="1" applyNumberFormat="1" applyFont="1" applyFill="1" applyAlignment="1">
      <alignment horizontal="right" vertical="top" wrapText="1"/>
    </xf>
    <xf numFmtId="203" fontId="82" fillId="14" borderId="0" xfId="0" quotePrefix="1" applyNumberFormat="1" applyFont="1" applyFill="1" applyAlignment="1">
      <alignment horizontal="right" vertical="top" wrapText="1"/>
    </xf>
    <xf numFmtId="205" fontId="61" fillId="4" borderId="0" xfId="0" quotePrefix="1" applyNumberFormat="1" applyFont="1" applyFill="1" applyAlignment="1">
      <alignment horizontal="right" vertical="top" wrapText="1"/>
    </xf>
    <xf numFmtId="203" fontId="83" fillId="14" borderId="0" xfId="0" quotePrefix="1" applyNumberFormat="1" applyFont="1" applyFill="1" applyAlignment="1">
      <alignment horizontal="right" vertical="top" wrapText="1"/>
    </xf>
    <xf numFmtId="178" fontId="12" fillId="9" borderId="27" xfId="0" applyNumberFormat="1" applyFont="1" applyFill="1" applyBorder="1" applyAlignment="1">
      <alignment vertical="top"/>
    </xf>
    <xf numFmtId="0" fontId="12" fillId="9" borderId="27" xfId="0" applyFont="1" applyFill="1" applyBorder="1" applyAlignment="1">
      <alignment horizontal="center"/>
    </xf>
    <xf numFmtId="178" fontId="12" fillId="3" borderId="27" xfId="0" applyNumberFormat="1" applyFont="1" applyFill="1" applyBorder="1" applyAlignment="1">
      <alignment horizontal="right"/>
    </xf>
    <xf numFmtId="0" fontId="75" fillId="0" borderId="0" xfId="0" applyFont="1" applyAlignment="1">
      <alignment horizontal="left"/>
    </xf>
    <xf numFmtId="205" fontId="61" fillId="4" borderId="0" xfId="0" quotePrefix="1" applyNumberFormat="1" applyFont="1" applyFill="1" applyAlignment="1">
      <alignment horizontal="left" vertical="top" wrapText="1"/>
    </xf>
    <xf numFmtId="0" fontId="68" fillId="21" borderId="0" xfId="0" applyFont="1" applyFill="1" applyAlignment="1"/>
    <xf numFmtId="0" fontId="73" fillId="21" borderId="0" xfId="0" applyFont="1" applyFill="1" applyAlignment="1">
      <alignment horizontal="left"/>
    </xf>
    <xf numFmtId="0" fontId="68" fillId="19" borderId="0" xfId="0" applyFont="1" applyFill="1" applyAlignment="1">
      <alignment horizontal="right"/>
    </xf>
    <xf numFmtId="0" fontId="0" fillId="0" borderId="45" xfId="0" applyBorder="1"/>
    <xf numFmtId="0" fontId="75" fillId="0" borderId="46" xfId="0" applyFont="1" applyBorder="1" applyAlignment="1">
      <alignment horizontal="right"/>
    </xf>
    <xf numFmtId="0" fontId="75" fillId="0" borderId="46" xfId="0" applyFont="1" applyBorder="1"/>
    <xf numFmtId="0" fontId="0" fillId="0" borderId="46" xfId="0" applyFont="1" applyBorder="1" applyAlignment="1">
      <alignment vertical="top"/>
    </xf>
    <xf numFmtId="0" fontId="0" fillId="0" borderId="46" xfId="0" applyBorder="1"/>
    <xf numFmtId="0" fontId="68" fillId="21" borderId="0" xfId="0" applyFont="1" applyFill="1" applyBorder="1" applyAlignment="1"/>
    <xf numFmtId="0" fontId="73" fillId="21" borderId="0" xfId="0" applyFont="1" applyFill="1" applyBorder="1" applyAlignment="1">
      <alignment horizontal="left"/>
    </xf>
    <xf numFmtId="0" fontId="68" fillId="19" borderId="0" xfId="0" applyFont="1" applyFill="1" applyBorder="1" applyAlignment="1">
      <alignment horizontal="right"/>
    </xf>
    <xf numFmtId="0" fontId="0" fillId="2" borderId="0" xfId="0" applyFont="1" applyFill="1" applyBorder="1" applyAlignment="1"/>
    <xf numFmtId="0" fontId="47" fillId="2" borderId="0" xfId="0" applyFont="1" applyFill="1" applyBorder="1" applyAlignment="1">
      <alignment horizontal="left"/>
    </xf>
    <xf numFmtId="0" fontId="0" fillId="0" borderId="0" xfId="0" applyFont="1" applyFill="1" applyBorder="1" applyAlignment="1">
      <alignment horizontal="right"/>
    </xf>
    <xf numFmtId="0" fontId="0" fillId="2" borderId="51" xfId="0" applyFont="1" applyFill="1" applyBorder="1" applyAlignment="1"/>
    <xf numFmtId="0" fontId="47" fillId="2" borderId="51" xfId="0" applyFont="1" applyFill="1" applyBorder="1" applyAlignment="1">
      <alignment horizontal="left"/>
    </xf>
    <xf numFmtId="0" fontId="0" fillId="0" borderId="51" xfId="0" applyFont="1" applyFill="1" applyBorder="1" applyAlignment="1">
      <alignment vertical="top"/>
    </xf>
    <xf numFmtId="0" fontId="0" fillId="0" borderId="51" xfId="0" applyFont="1" applyBorder="1" applyAlignment="1">
      <alignment vertical="top"/>
    </xf>
    <xf numFmtId="0" fontId="0" fillId="0" borderId="51" xfId="0" applyFont="1" applyFill="1" applyBorder="1" applyAlignment="1">
      <alignment horizontal="right"/>
    </xf>
    <xf numFmtId="0" fontId="68" fillId="21" borderId="46" xfId="0" applyFont="1" applyFill="1" applyBorder="1" applyAlignment="1"/>
    <xf numFmtId="0" fontId="73" fillId="21" borderId="46" xfId="0" applyFont="1" applyFill="1" applyBorder="1" applyAlignment="1">
      <alignment horizontal="left"/>
    </xf>
    <xf numFmtId="0" fontId="68" fillId="19" borderId="46" xfId="0" applyFont="1" applyFill="1" applyBorder="1" applyAlignment="1">
      <alignment horizontal="right"/>
    </xf>
    <xf numFmtId="0" fontId="75" fillId="0" borderId="47" xfId="0" applyFont="1" applyBorder="1" applyAlignment="1">
      <alignment horizontal="center"/>
    </xf>
    <xf numFmtId="0" fontId="6" fillId="0" borderId="47" xfId="0" applyFont="1" applyFill="1" applyBorder="1" applyAlignment="1">
      <alignment horizontal="center" vertical="top"/>
    </xf>
    <xf numFmtId="0" fontId="6" fillId="0" borderId="49" xfId="0" applyFont="1" applyFill="1" applyBorder="1" applyAlignment="1">
      <alignment horizontal="center" vertical="top"/>
    </xf>
    <xf numFmtId="0" fontId="6" fillId="0" borderId="52" xfId="0" applyFont="1" applyFill="1" applyBorder="1" applyAlignment="1">
      <alignment horizontal="center" vertical="top"/>
    </xf>
    <xf numFmtId="0" fontId="68" fillId="19" borderId="45" xfId="0" applyFont="1" applyFill="1" applyBorder="1"/>
    <xf numFmtId="0" fontId="68" fillId="19" borderId="48" xfId="0" applyFont="1" applyFill="1" applyBorder="1" applyAlignment="1">
      <alignment vertical="top"/>
    </xf>
    <xf numFmtId="0" fontId="68" fillId="19" borderId="50" xfId="0" applyFont="1" applyFill="1" applyBorder="1" applyAlignment="1">
      <alignment vertical="top"/>
    </xf>
    <xf numFmtId="49" fontId="26" fillId="5" borderId="0" xfId="0" applyNumberFormat="1" applyFont="1" applyFill="1" applyAlignment="1">
      <alignment horizontal="left" vertical="top"/>
    </xf>
    <xf numFmtId="0" fontId="84" fillId="5" borderId="0" xfId="0" applyFont="1" applyFill="1" applyAlignment="1">
      <alignment vertical="top"/>
    </xf>
    <xf numFmtId="0" fontId="26" fillId="5" borderId="0" xfId="0" applyFont="1" applyFill="1" applyAlignment="1">
      <alignment vertical="top"/>
    </xf>
    <xf numFmtId="49" fontId="0" fillId="0" borderId="0" xfId="0" applyNumberFormat="1" applyFont="1" applyFill="1" applyAlignment="1">
      <alignment horizontal="right" vertical="center"/>
    </xf>
    <xf numFmtId="0" fontId="0" fillId="0" borderId="0" xfId="0" applyAlignment="1">
      <alignment vertical="center"/>
    </xf>
    <xf numFmtId="0" fontId="7" fillId="0" borderId="0" xfId="0" applyFont="1" applyAlignment="1">
      <alignment vertical="center"/>
    </xf>
    <xf numFmtId="0" fontId="0" fillId="0" borderId="0" xfId="0" applyFont="1" applyAlignment="1">
      <alignment vertical="center"/>
    </xf>
    <xf numFmtId="0" fontId="0" fillId="2" borderId="0" xfId="0" applyFont="1" applyFill="1" applyAlignment="1">
      <alignment vertical="center"/>
    </xf>
    <xf numFmtId="0" fontId="47" fillId="2" borderId="0" xfId="0" applyFont="1" applyFill="1" applyAlignment="1">
      <alignment horizontal="left" vertical="center"/>
    </xf>
    <xf numFmtId="0" fontId="61" fillId="4" borderId="0" xfId="0" quotePrefix="1" applyFont="1" applyFill="1" applyAlignment="1">
      <alignment horizontal="left" vertical="center" wrapText="1"/>
    </xf>
    <xf numFmtId="0" fontId="61" fillId="4" borderId="0" xfId="0" quotePrefix="1" applyFont="1" applyFill="1" applyAlignment="1">
      <alignment horizontal="right" vertical="center" wrapText="1"/>
    </xf>
    <xf numFmtId="0" fontId="61" fillId="22" borderId="43" xfId="0" quotePrefix="1" applyFont="1" applyFill="1" applyBorder="1" applyAlignment="1">
      <alignment horizontal="left" vertical="center" wrapText="1"/>
    </xf>
    <xf numFmtId="199" fontId="0" fillId="0" borderId="0" xfId="0" applyNumberFormat="1"/>
    <xf numFmtId="0" fontId="47" fillId="0" borderId="0" xfId="0" applyFont="1" applyAlignment="1">
      <alignment horizontal="left"/>
    </xf>
    <xf numFmtId="0" fontId="0" fillId="23" borderId="0" xfId="0" applyFont="1" applyFill="1" applyAlignment="1"/>
    <xf numFmtId="0" fontId="47" fillId="23" borderId="0" xfId="0" applyFont="1" applyFill="1" applyAlignment="1">
      <alignment horizontal="left"/>
    </xf>
    <xf numFmtId="174" fontId="68" fillId="19" borderId="0" xfId="0" applyNumberFormat="1" applyFont="1" applyFill="1" applyAlignment="1">
      <alignment horizontal="right"/>
    </xf>
    <xf numFmtId="0" fontId="85" fillId="0" borderId="0" xfId="0" applyFont="1" applyAlignment="1">
      <alignment horizontal="right"/>
    </xf>
    <xf numFmtId="0" fontId="75" fillId="0" borderId="54" xfId="0" quotePrefix="1" applyFont="1" applyBorder="1" applyAlignment="1">
      <alignment horizontal="right"/>
    </xf>
    <xf numFmtId="0" fontId="75" fillId="0" borderId="55" xfId="0" applyFont="1" applyBorder="1" applyAlignment="1">
      <alignment horizontal="right"/>
    </xf>
    <xf numFmtId="0" fontId="75" fillId="0" borderId="55" xfId="0" applyFont="1" applyBorder="1"/>
    <xf numFmtId="0" fontId="74" fillId="0" borderId="55" xfId="0" applyFont="1" applyBorder="1" applyAlignment="1">
      <alignment horizontal="left"/>
    </xf>
    <xf numFmtId="199" fontId="26" fillId="0" borderId="44" xfId="0" applyNumberFormat="1" applyFont="1" applyBorder="1"/>
    <xf numFmtId="199" fontId="0" fillId="0" borderId="57" xfId="0" applyNumberFormat="1" applyFont="1" applyBorder="1"/>
    <xf numFmtId="199" fontId="0" fillId="0" borderId="58" xfId="0" applyNumberFormat="1" applyFont="1" applyBorder="1"/>
    <xf numFmtId="0" fontId="73" fillId="19" borderId="0" xfId="0" applyFont="1" applyFill="1" applyBorder="1" applyAlignment="1">
      <alignment horizontal="left"/>
    </xf>
    <xf numFmtId="0" fontId="18" fillId="0" borderId="0" xfId="0" applyFont="1" applyBorder="1"/>
    <xf numFmtId="0" fontId="74" fillId="0" borderId="45" xfId="0" applyFont="1" applyFill="1" applyBorder="1" applyAlignment="1">
      <alignment horizontal="right" vertical="top"/>
    </xf>
    <xf numFmtId="0" fontId="75" fillId="0" borderId="46" xfId="0" applyFont="1" applyFill="1" applyBorder="1" applyAlignment="1">
      <alignment horizontal="right" vertical="top"/>
    </xf>
    <xf numFmtId="0" fontId="75" fillId="0" borderId="46" xfId="0" applyFont="1" applyBorder="1" applyAlignment="1">
      <alignment horizontal="right" vertical="top"/>
    </xf>
    <xf numFmtId="0" fontId="75" fillId="0" borderId="46" xfId="0" applyFont="1" applyBorder="1" applyAlignment="1">
      <alignment vertical="top"/>
    </xf>
    <xf numFmtId="0" fontId="75" fillId="0" borderId="46" xfId="0" applyFont="1" applyFill="1" applyBorder="1" applyAlignment="1">
      <alignment vertical="top"/>
    </xf>
    <xf numFmtId="0" fontId="75" fillId="0" borderId="47" xfId="0" applyFont="1" applyFill="1" applyBorder="1" applyAlignment="1">
      <alignment vertical="top"/>
    </xf>
    <xf numFmtId="0" fontId="71" fillId="19" borderId="48" xfId="0" applyFont="1" applyFill="1" applyBorder="1"/>
    <xf numFmtId="0" fontId="68" fillId="15" borderId="49" xfId="0" applyFont="1" applyFill="1" applyBorder="1" applyAlignment="1">
      <alignment vertical="top"/>
    </xf>
    <xf numFmtId="0" fontId="18" fillId="0" borderId="48" xfId="0" applyFont="1" applyBorder="1"/>
    <xf numFmtId="0" fontId="12" fillId="0" borderId="49" xfId="0" applyFont="1" applyBorder="1" applyAlignment="1">
      <alignment vertical="top"/>
    </xf>
    <xf numFmtId="0" fontId="18" fillId="0" borderId="50" xfId="0" applyFont="1" applyBorder="1"/>
    <xf numFmtId="0" fontId="32" fillId="0" borderId="51" xfId="0" applyFont="1" applyBorder="1" applyAlignment="1">
      <alignment horizontal="right" vertical="top"/>
    </xf>
    <xf numFmtId="0" fontId="0" fillId="0" borderId="51" xfId="0" applyBorder="1"/>
    <xf numFmtId="0" fontId="14" fillId="0" borderId="51" xfId="0" applyFont="1" applyBorder="1" applyAlignment="1">
      <alignment horizontal="left"/>
    </xf>
    <xf numFmtId="0" fontId="12" fillId="0" borderId="51" xfId="0" applyFont="1" applyBorder="1" applyAlignment="1">
      <alignment vertical="top"/>
    </xf>
    <xf numFmtId="0" fontId="28" fillId="0" borderId="51" xfId="0" applyFont="1" applyBorder="1" applyAlignment="1">
      <alignment horizontal="left"/>
    </xf>
    <xf numFmtId="0" fontId="12" fillId="0" borderId="52" xfId="0" applyFont="1" applyBorder="1" applyAlignment="1">
      <alignment vertical="top"/>
    </xf>
    <xf numFmtId="0" fontId="71" fillId="15" borderId="49" xfId="0" applyFont="1" applyFill="1" applyBorder="1" applyAlignment="1">
      <alignment horizontal="left"/>
    </xf>
    <xf numFmtId="0" fontId="28" fillId="0" borderId="49" xfId="0" applyFont="1" applyBorder="1" applyAlignment="1">
      <alignment horizontal="left"/>
    </xf>
    <xf numFmtId="0" fontId="32" fillId="0" borderId="51" xfId="0" applyFont="1" applyBorder="1" applyAlignment="1">
      <alignment horizontal="right"/>
    </xf>
    <xf numFmtId="0" fontId="28" fillId="0" borderId="52" xfId="0" applyFont="1" applyBorder="1" applyAlignment="1">
      <alignment horizontal="left"/>
    </xf>
    <xf numFmtId="0" fontId="18" fillId="0" borderId="45" xfId="0" applyFont="1" applyBorder="1"/>
    <xf numFmtId="0" fontId="14" fillId="0" borderId="46" xfId="0" applyFont="1" applyBorder="1" applyAlignment="1">
      <alignment horizontal="left"/>
    </xf>
    <xf numFmtId="0" fontId="12" fillId="0" borderId="46" xfId="0" applyFont="1" applyBorder="1" applyAlignment="1">
      <alignment vertical="top"/>
    </xf>
    <xf numFmtId="0" fontId="32" fillId="0" borderId="46" xfId="0" applyFont="1" applyBorder="1" applyAlignment="1">
      <alignment horizontal="right" vertical="top"/>
    </xf>
    <xf numFmtId="0" fontId="28" fillId="0" borderId="47" xfId="0" applyFont="1" applyBorder="1" applyAlignment="1">
      <alignment horizontal="left"/>
    </xf>
    <xf numFmtId="0" fontId="58" fillId="16" borderId="46" xfId="0" applyFont="1" applyFill="1" applyBorder="1" applyAlignment="1">
      <alignment horizontal="right" vertical="top"/>
    </xf>
    <xf numFmtId="0" fontId="72" fillId="20" borderId="0" xfId="0" applyFont="1" applyFill="1" applyBorder="1" applyAlignment="1">
      <alignment horizontal="right" vertical="top"/>
    </xf>
    <xf numFmtId="0" fontId="32" fillId="9" borderId="0" xfId="0" applyFont="1" applyFill="1" applyBorder="1" applyAlignment="1">
      <alignment horizontal="right" vertical="top"/>
    </xf>
    <xf numFmtId="0" fontId="76" fillId="15" borderId="46" xfId="0" applyFont="1" applyFill="1" applyBorder="1" applyAlignment="1">
      <alignment horizontal="left" vertical="top"/>
    </xf>
    <xf numFmtId="205" fontId="61" fillId="4" borderId="46" xfId="0" quotePrefix="1" applyNumberFormat="1" applyFont="1" applyFill="1" applyBorder="1" applyAlignment="1">
      <alignment horizontal="left" vertical="top" wrapText="1"/>
    </xf>
    <xf numFmtId="0" fontId="76" fillId="15" borderId="46" xfId="0" applyFont="1" applyFill="1" applyBorder="1" applyAlignment="1">
      <alignment horizontal="right" vertical="top"/>
    </xf>
    <xf numFmtId="0" fontId="78" fillId="15" borderId="46" xfId="0" applyFont="1" applyFill="1" applyBorder="1" applyAlignment="1">
      <alignment horizontal="left"/>
    </xf>
    <xf numFmtId="0" fontId="77" fillId="15" borderId="46" xfId="0" applyFont="1" applyFill="1" applyBorder="1" applyAlignment="1">
      <alignment vertical="top"/>
    </xf>
    <xf numFmtId="0" fontId="77" fillId="15" borderId="60" xfId="0" applyFont="1" applyFill="1" applyBorder="1" applyAlignment="1">
      <alignment vertical="top"/>
    </xf>
    <xf numFmtId="178" fontId="12" fillId="3" borderId="59" xfId="0" applyNumberFormat="1" applyFont="1" applyFill="1" applyBorder="1" applyAlignment="1">
      <alignment horizontal="right"/>
    </xf>
    <xf numFmtId="203" fontId="66" fillId="4" borderId="46" xfId="0" quotePrefix="1" applyNumberFormat="1" applyFont="1" applyFill="1" applyBorder="1" applyAlignment="1">
      <alignment horizontal="right" vertical="top" wrapText="1"/>
    </xf>
    <xf numFmtId="0" fontId="61" fillId="4" borderId="46" xfId="0" quotePrefix="1" applyFont="1" applyFill="1" applyBorder="1" applyAlignment="1">
      <alignment horizontal="center" vertical="top" wrapText="1"/>
    </xf>
    <xf numFmtId="0" fontId="12" fillId="3" borderId="59" xfId="0" applyFont="1" applyFill="1" applyBorder="1" applyAlignment="1">
      <alignment horizontal="center"/>
    </xf>
    <xf numFmtId="0" fontId="60" fillId="0" borderId="0" xfId="0" quotePrefix="1" applyFont="1" applyBorder="1" applyAlignment="1">
      <alignment horizontal="right"/>
    </xf>
    <xf numFmtId="0" fontId="60" fillId="0" borderId="0" xfId="0" applyFont="1" applyBorder="1" applyAlignment="1">
      <alignment horizontal="right"/>
    </xf>
    <xf numFmtId="0" fontId="87" fillId="0" borderId="0" xfId="0" applyFont="1" applyBorder="1" applyAlignment="1">
      <alignment horizontal="left"/>
    </xf>
    <xf numFmtId="199" fontId="0" fillId="0" borderId="0" xfId="0" applyNumberFormat="1" applyFont="1" applyBorder="1"/>
    <xf numFmtId="199" fontId="60" fillId="0" borderId="53" xfId="0" applyNumberFormat="1" applyFont="1" applyBorder="1"/>
    <xf numFmtId="199" fontId="60" fillId="0" borderId="57" xfId="0" applyNumberFormat="1" applyFont="1" applyBorder="1"/>
    <xf numFmtId="0" fontId="86" fillId="0" borderId="0" xfId="0" applyFont="1" applyBorder="1" applyAlignment="1">
      <alignment horizontal="left"/>
    </xf>
    <xf numFmtId="49" fontId="67" fillId="0" borderId="0" xfId="0" applyNumberFormat="1" applyFont="1" applyFill="1" applyAlignment="1">
      <alignment horizontal="left" vertical="top"/>
    </xf>
    <xf numFmtId="49" fontId="67" fillId="0" borderId="0" xfId="0" applyNumberFormat="1" applyFont="1" applyFill="1" applyAlignment="1">
      <alignment horizontal="left" vertical="center"/>
    </xf>
    <xf numFmtId="0" fontId="12" fillId="0" borderId="0" xfId="0" applyFont="1" applyFill="1" applyAlignment="1">
      <alignment vertical="center"/>
    </xf>
    <xf numFmtId="0" fontId="68" fillId="19" borderId="0" xfId="0" applyFont="1" applyFill="1"/>
    <xf numFmtId="0" fontId="73" fillId="19" borderId="0" xfId="0" applyFont="1" applyFill="1" applyAlignment="1">
      <alignment horizontal="left"/>
    </xf>
    <xf numFmtId="0" fontId="68" fillId="19" borderId="0" xfId="0" applyFont="1" applyFill="1" applyAlignment="1">
      <alignment vertical="top"/>
    </xf>
    <xf numFmtId="0" fontId="47" fillId="0" borderId="0" xfId="0" applyFont="1" applyBorder="1" applyAlignment="1">
      <alignment horizontal="left"/>
    </xf>
    <xf numFmtId="0" fontId="0" fillId="0" borderId="0" xfId="0" applyFont="1" applyBorder="1" applyAlignment="1">
      <alignment horizontal="right"/>
    </xf>
    <xf numFmtId="206" fontId="47" fillId="0" borderId="0" xfId="0" applyNumberFormat="1" applyFont="1" applyBorder="1" applyAlignment="1">
      <alignment horizontal="left"/>
    </xf>
    <xf numFmtId="0" fontId="68" fillId="19" borderId="48" xfId="0" applyFont="1" applyFill="1" applyBorder="1" applyAlignment="1">
      <alignment horizontal="right"/>
    </xf>
    <xf numFmtId="206" fontId="61" fillId="4" borderId="0" xfId="0" quotePrefix="1" applyNumberFormat="1" applyFont="1" applyFill="1" applyBorder="1" applyAlignment="1">
      <alignment horizontal="right" vertical="center" wrapText="1"/>
    </xf>
    <xf numFmtId="206" fontId="82" fillId="14" borderId="49" xfId="0" quotePrefix="1" applyNumberFormat="1" applyFont="1" applyFill="1" applyBorder="1" applyAlignment="1">
      <alignment horizontal="right" vertical="center" wrapText="1"/>
    </xf>
    <xf numFmtId="174" fontId="68" fillId="19" borderId="0" xfId="0" applyNumberFormat="1" applyFont="1" applyFill="1" applyBorder="1" applyAlignment="1">
      <alignment horizontal="right"/>
    </xf>
    <xf numFmtId="206" fontId="61" fillId="4" borderId="49" xfId="0" quotePrefix="1" applyNumberFormat="1" applyFont="1" applyFill="1" applyBorder="1" applyAlignment="1">
      <alignment horizontal="right" vertical="center" wrapText="1"/>
    </xf>
    <xf numFmtId="0" fontId="68" fillId="19" borderId="50" xfId="0" applyFont="1" applyFill="1" applyBorder="1" applyAlignment="1">
      <alignment horizontal="right"/>
    </xf>
    <xf numFmtId="174" fontId="68" fillId="19" borderId="51" xfId="0" applyNumberFormat="1" applyFont="1" applyFill="1" applyBorder="1" applyAlignment="1">
      <alignment horizontal="right"/>
    </xf>
    <xf numFmtId="0" fontId="0" fillId="0" borderId="51" xfId="0" applyFont="1" applyBorder="1" applyAlignment="1">
      <alignment horizontal="right"/>
    </xf>
    <xf numFmtId="206" fontId="47" fillId="0" borderId="51" xfId="0" applyNumberFormat="1" applyFont="1" applyBorder="1" applyAlignment="1">
      <alignment horizontal="left"/>
    </xf>
    <xf numFmtId="199" fontId="60" fillId="0" borderId="58" xfId="0" applyNumberFormat="1" applyFont="1" applyBorder="1"/>
    <xf numFmtId="0" fontId="47" fillId="0" borderId="51" xfId="0" applyFont="1" applyBorder="1" applyAlignment="1">
      <alignment horizontal="left"/>
    </xf>
    <xf numFmtId="206" fontId="61" fillId="4" borderId="51" xfId="0" quotePrefix="1" applyNumberFormat="1" applyFont="1" applyFill="1" applyBorder="1" applyAlignment="1">
      <alignment horizontal="right" vertical="center" wrapText="1"/>
    </xf>
    <xf numFmtId="206" fontId="61" fillId="4" borderId="52" xfId="0" quotePrefix="1" applyNumberFormat="1" applyFont="1" applyFill="1" applyBorder="1" applyAlignment="1">
      <alignment horizontal="right" vertical="center" wrapText="1"/>
    </xf>
    <xf numFmtId="0" fontId="75" fillId="0" borderId="54" xfId="0" applyFont="1" applyBorder="1" applyAlignment="1">
      <alignment horizontal="right"/>
    </xf>
    <xf numFmtId="0" fontId="85" fillId="0" borderId="55" xfId="0" applyFont="1" applyBorder="1" applyAlignment="1">
      <alignment horizontal="right"/>
    </xf>
    <xf numFmtId="0" fontId="0" fillId="0" borderId="55" xfId="0" applyBorder="1"/>
    <xf numFmtId="0" fontId="75" fillId="0" borderId="56" xfId="0" applyFont="1" applyBorder="1" applyAlignment="1">
      <alignment horizontal="right"/>
    </xf>
    <xf numFmtId="13" fontId="61" fillId="4" borderId="0" xfId="0" quotePrefix="1" applyNumberFormat="1" applyFont="1" applyFill="1" applyBorder="1" applyAlignment="1">
      <alignment horizontal="right" vertical="center" wrapText="1"/>
    </xf>
    <xf numFmtId="206" fontId="67" fillId="4" borderId="0" xfId="0" quotePrefix="1" applyNumberFormat="1" applyFont="1" applyFill="1" applyBorder="1" applyAlignment="1">
      <alignment horizontal="right" vertical="center" wrapText="1"/>
    </xf>
    <xf numFmtId="206" fontId="61" fillId="22" borderId="61" xfId="0" quotePrefix="1" applyNumberFormat="1" applyFont="1" applyFill="1" applyBorder="1" applyAlignment="1">
      <alignment horizontal="right" vertical="center" wrapText="1"/>
    </xf>
    <xf numFmtId="0" fontId="68" fillId="19" borderId="62" xfId="0" applyFont="1" applyFill="1" applyBorder="1" applyAlignment="1">
      <alignment horizontal="right"/>
    </xf>
    <xf numFmtId="206" fontId="61" fillId="22" borderId="62" xfId="0" quotePrefix="1" applyNumberFormat="1" applyFont="1" applyFill="1" applyBorder="1" applyAlignment="1">
      <alignment horizontal="right" vertical="center" wrapText="1"/>
    </xf>
    <xf numFmtId="206" fontId="73" fillId="14" borderId="63" xfId="0" quotePrefix="1" applyNumberFormat="1" applyFont="1" applyFill="1" applyBorder="1" applyAlignment="1">
      <alignment horizontal="left" vertical="center" wrapText="1"/>
    </xf>
    <xf numFmtId="206" fontId="61" fillId="22" borderId="43" xfId="0" quotePrefix="1" applyNumberFormat="1" applyFont="1" applyFill="1" applyBorder="1" applyAlignment="1">
      <alignment horizontal="right" vertical="center" wrapText="1"/>
    </xf>
    <xf numFmtId="178" fontId="0" fillId="0" borderId="0" xfId="0" applyNumberFormat="1"/>
    <xf numFmtId="178" fontId="68" fillId="19" borderId="0" xfId="0" applyNumberFormat="1" applyFont="1" applyFill="1"/>
    <xf numFmtId="207" fontId="66" fillId="4" borderId="0" xfId="0" quotePrefix="1" applyNumberFormat="1" applyFont="1" applyFill="1" applyBorder="1" applyAlignment="1">
      <alignment horizontal="right" vertical="center" wrapText="1"/>
    </xf>
    <xf numFmtId="206" fontId="61" fillId="4" borderId="0" xfId="0" quotePrefix="1" applyNumberFormat="1" applyFont="1" applyFill="1" applyBorder="1" applyAlignment="1">
      <alignment horizontal="right" vertical="top" wrapText="1"/>
    </xf>
    <xf numFmtId="208" fontId="60" fillId="0" borderId="0" xfId="0" applyNumberFormat="1" applyFont="1"/>
    <xf numFmtId="0" fontId="89" fillId="0" borderId="0" xfId="0" applyFont="1" applyAlignment="1">
      <alignment horizontal="left"/>
    </xf>
    <xf numFmtId="0" fontId="0" fillId="0" borderId="0" xfId="0" applyFill="1" applyAlignment="1">
      <alignment vertical="center"/>
    </xf>
    <xf numFmtId="0" fontId="68" fillId="19" borderId="0" xfId="0" applyFont="1" applyFill="1" applyAlignment="1">
      <alignment vertical="center"/>
    </xf>
    <xf numFmtId="0" fontId="61" fillId="4" borderId="0" xfId="0" quotePrefix="1" applyFont="1" applyFill="1" applyAlignment="1">
      <alignment horizontal="left" vertical="top" wrapText="1"/>
    </xf>
    <xf numFmtId="0" fontId="12" fillId="4" borderId="0" xfId="0" applyFont="1" applyFill="1" applyAlignment="1">
      <alignment horizontal="left" vertical="top" wrapText="1"/>
    </xf>
    <xf numFmtId="0" fontId="61" fillId="4" borderId="0" xfId="0" quotePrefix="1" applyFont="1" applyFill="1" applyAlignment="1">
      <alignment horizontal="left" vertical="top" wrapText="1"/>
    </xf>
    <xf numFmtId="0" fontId="6" fillId="0" borderId="0" xfId="0" applyFont="1" applyAlignment="1">
      <alignment horizontal="justify" vertical="center"/>
    </xf>
    <xf numFmtId="206" fontId="61" fillId="4" borderId="0" xfId="0" quotePrefix="1" applyNumberFormat="1" applyFont="1" applyFill="1" applyBorder="1" applyAlignment="1">
      <alignment horizontal="right" vertical="center"/>
    </xf>
    <xf numFmtId="206" fontId="67" fillId="4" borderId="0" xfId="0" quotePrefix="1" applyNumberFormat="1" applyFont="1" applyFill="1" applyBorder="1" applyAlignment="1">
      <alignment horizontal="right" vertical="center"/>
    </xf>
    <xf numFmtId="13" fontId="66" fillId="4" borderId="0" xfId="0" quotePrefix="1" applyNumberFormat="1" applyFont="1" applyFill="1" applyBorder="1" applyAlignment="1">
      <alignment horizontal="right" vertical="center" wrapText="1"/>
    </xf>
    <xf numFmtId="13" fontId="47" fillId="0" borderId="0" xfId="0" applyNumberFormat="1" applyFont="1" applyAlignment="1">
      <alignment horizontal="left"/>
    </xf>
    <xf numFmtId="13" fontId="0" fillId="0" borderId="0" xfId="0" applyNumberFormat="1"/>
    <xf numFmtId="0" fontId="47" fillId="0" borderId="0" xfId="0" applyFont="1" applyFill="1" applyAlignment="1">
      <alignment horizontal="left"/>
    </xf>
    <xf numFmtId="0" fontId="0" fillId="0" borderId="0" xfId="0" applyFill="1" applyAlignment="1"/>
    <xf numFmtId="0" fontId="26" fillId="0" borderId="0" xfId="0" applyFont="1" applyFill="1" applyAlignment="1">
      <alignment horizontal="right"/>
    </xf>
    <xf numFmtId="0" fontId="6" fillId="2" borderId="31" xfId="0" applyFont="1" applyFill="1" applyBorder="1" applyAlignment="1">
      <alignment horizontal="left" vertical="top"/>
    </xf>
    <xf numFmtId="0" fontId="6" fillId="2" borderId="31" xfId="0" applyFont="1" applyFill="1" applyBorder="1" applyAlignment="1">
      <alignment horizontal="right" vertical="top"/>
    </xf>
    <xf numFmtId="0" fontId="75" fillId="0" borderId="0" xfId="0" applyFont="1" applyFill="1"/>
    <xf numFmtId="0" fontId="12" fillId="22" borderId="43" xfId="0" applyFont="1" applyFill="1" applyBorder="1" applyAlignment="1">
      <alignment horizontal="left" vertical="top" wrapText="1"/>
    </xf>
    <xf numFmtId="0" fontId="14" fillId="4" borderId="0" xfId="0" applyFont="1" applyFill="1" applyAlignment="1">
      <alignment horizontal="left"/>
    </xf>
    <xf numFmtId="49" fontId="75" fillId="0" borderId="0" xfId="0" applyNumberFormat="1" applyFont="1" applyFill="1" applyAlignment="1">
      <alignment horizontal="left" vertical="top"/>
    </xf>
    <xf numFmtId="0" fontId="90" fillId="0" borderId="0" xfId="0" applyFont="1" applyBorder="1"/>
    <xf numFmtId="0" fontId="75" fillId="0" borderId="0" xfId="0" applyFont="1" applyAlignment="1">
      <alignment vertical="top"/>
    </xf>
    <xf numFmtId="0" fontId="61" fillId="4" borderId="0" xfId="0" quotePrefix="1" applyFont="1" applyFill="1" applyAlignment="1">
      <alignment horizontal="right" vertical="top"/>
    </xf>
    <xf numFmtId="0" fontId="66" fillId="4" borderId="0" xfId="0" quotePrefix="1" applyFont="1" applyFill="1" applyAlignment="1">
      <alignment horizontal="left" wrapText="1"/>
    </xf>
    <xf numFmtId="0" fontId="24" fillId="0" borderId="1" xfId="0" applyFont="1" applyFill="1" applyBorder="1"/>
    <xf numFmtId="49" fontId="26" fillId="0" borderId="27" xfId="0" applyNumberFormat="1" applyFont="1" applyFill="1" applyBorder="1" applyAlignment="1">
      <alignment horizontal="left" vertical="top"/>
    </xf>
    <xf numFmtId="0" fontId="91" fillId="0" borderId="0" xfId="0" applyFont="1"/>
    <xf numFmtId="202" fontId="0" fillId="0" borderId="0" xfId="0" applyNumberFormat="1" applyFont="1"/>
    <xf numFmtId="209" fontId="47" fillId="0" borderId="0" xfId="0" applyNumberFormat="1" applyFont="1" applyAlignment="1">
      <alignment horizontal="left"/>
    </xf>
    <xf numFmtId="206" fontId="66" fillId="4" borderId="0" xfId="0" quotePrefix="1" applyNumberFormat="1" applyFont="1" applyFill="1" applyBorder="1" applyAlignment="1">
      <alignment horizontal="left" vertical="center" wrapText="1"/>
    </xf>
    <xf numFmtId="206" fontId="61" fillId="4" borderId="51" xfId="0" quotePrefix="1" applyNumberFormat="1" applyFont="1" applyFill="1" applyBorder="1" applyAlignment="1">
      <alignment horizontal="right" vertical="center"/>
    </xf>
    <xf numFmtId="206" fontId="66" fillId="4" borderId="51" xfId="0" quotePrefix="1" applyNumberFormat="1" applyFont="1" applyFill="1" applyBorder="1" applyAlignment="1">
      <alignment horizontal="left" vertical="center" wrapText="1"/>
    </xf>
    <xf numFmtId="206" fontId="61" fillId="4" borderId="46" xfId="0" quotePrefix="1" applyNumberFormat="1" applyFont="1" applyFill="1" applyBorder="1" applyAlignment="1">
      <alignment horizontal="right" vertical="center" wrapText="1"/>
    </xf>
    <xf numFmtId="206" fontId="61" fillId="4" borderId="46" xfId="0" quotePrefix="1" applyNumberFormat="1" applyFont="1" applyFill="1" applyBorder="1" applyAlignment="1">
      <alignment horizontal="right" vertical="center"/>
    </xf>
    <xf numFmtId="202" fontId="61" fillId="4" borderId="0" xfId="0" quotePrefix="1" applyNumberFormat="1" applyFont="1" applyFill="1" applyBorder="1" applyAlignment="1">
      <alignment horizontal="right" vertical="center" wrapText="1"/>
    </xf>
    <xf numFmtId="206" fontId="61" fillId="4" borderId="55" xfId="0" quotePrefix="1" applyNumberFormat="1" applyFont="1" applyFill="1" applyBorder="1" applyAlignment="1">
      <alignment horizontal="right" vertical="center" wrapText="1"/>
    </xf>
    <xf numFmtId="206" fontId="61" fillId="4" borderId="55" xfId="0" quotePrefix="1" applyNumberFormat="1" applyFont="1" applyFill="1" applyBorder="1" applyAlignment="1">
      <alignment horizontal="right" vertical="center"/>
    </xf>
    <xf numFmtId="206" fontId="67" fillId="4" borderId="47" xfId="0" quotePrefix="1" applyNumberFormat="1" applyFont="1" applyFill="1" applyBorder="1" applyAlignment="1">
      <alignment horizontal="right" vertical="center" wrapText="1"/>
    </xf>
    <xf numFmtId="0" fontId="61" fillId="0" borderId="0" xfId="0" applyFont="1" applyAlignment="1">
      <alignment vertical="center"/>
    </xf>
    <xf numFmtId="0" fontId="60" fillId="0" borderId="0" xfId="0" applyFont="1"/>
    <xf numFmtId="206" fontId="82" fillId="14" borderId="0" xfId="0" quotePrefix="1" applyNumberFormat="1" applyFont="1" applyFill="1" applyBorder="1" applyAlignment="1">
      <alignment horizontal="right" vertical="center" wrapText="1"/>
    </xf>
    <xf numFmtId="13" fontId="83" fillId="19" borderId="0" xfId="0" applyNumberFormat="1" applyFont="1" applyFill="1" applyBorder="1" applyAlignment="1">
      <alignment horizontal="left"/>
    </xf>
    <xf numFmtId="206" fontId="67" fillId="24" borderId="45" xfId="0" quotePrefix="1" applyNumberFormat="1" applyFont="1" applyFill="1" applyBorder="1" applyAlignment="1">
      <alignment horizontal="right" vertical="center" wrapText="1"/>
    </xf>
    <xf numFmtId="206" fontId="67" fillId="24" borderId="46" xfId="0" quotePrefix="1" applyNumberFormat="1" applyFont="1" applyFill="1" applyBorder="1" applyAlignment="1">
      <alignment horizontal="right" vertical="center" wrapText="1"/>
    </xf>
    <xf numFmtId="206" fontId="61" fillId="24" borderId="46" xfId="0" quotePrefix="1" applyNumberFormat="1" applyFont="1" applyFill="1" applyBorder="1" applyAlignment="1">
      <alignment horizontal="right" vertical="center" wrapText="1"/>
    </xf>
    <xf numFmtId="206" fontId="67" fillId="24" borderId="46" xfId="0" applyNumberFormat="1" applyFont="1" applyFill="1" applyBorder="1" applyAlignment="1">
      <alignment horizontal="left" vertical="center" wrapText="1"/>
    </xf>
    <xf numFmtId="206" fontId="82" fillId="14" borderId="48" xfId="0" quotePrefix="1" applyNumberFormat="1" applyFont="1" applyFill="1" applyBorder="1" applyAlignment="1">
      <alignment horizontal="right" vertical="center" wrapText="1"/>
    </xf>
    <xf numFmtId="206" fontId="82" fillId="14" borderId="50" xfId="0" quotePrefix="1" applyNumberFormat="1" applyFont="1" applyFill="1" applyBorder="1" applyAlignment="1">
      <alignment horizontal="right" vertical="center" wrapText="1"/>
    </xf>
    <xf numFmtId="206" fontId="82" fillId="14" borderId="51" xfId="0" quotePrefix="1" applyNumberFormat="1" applyFont="1" applyFill="1" applyBorder="1" applyAlignment="1">
      <alignment horizontal="right" vertical="center" wrapText="1"/>
    </xf>
    <xf numFmtId="0" fontId="75" fillId="25" borderId="45" xfId="0" applyFont="1" applyFill="1" applyBorder="1" applyAlignment="1">
      <alignment horizontal="right"/>
    </xf>
    <xf numFmtId="0" fontId="82" fillId="19" borderId="48" xfId="0" applyFont="1" applyFill="1" applyBorder="1" applyAlignment="1">
      <alignment horizontal="right"/>
    </xf>
    <xf numFmtId="206" fontId="68" fillId="19" borderId="0" xfId="0" applyNumberFormat="1" applyFont="1" applyFill="1"/>
    <xf numFmtId="206" fontId="67" fillId="24" borderId="46" xfId="0" quotePrefix="1" applyNumberFormat="1" applyFont="1" applyFill="1" applyBorder="1" applyAlignment="1">
      <alignment horizontal="center" vertical="center" wrapText="1"/>
    </xf>
    <xf numFmtId="206" fontId="47" fillId="0" borderId="0" xfId="0" applyNumberFormat="1" applyFont="1"/>
    <xf numFmtId="0" fontId="0" fillId="0" borderId="53" xfId="0" applyBorder="1"/>
    <xf numFmtId="0" fontId="0" fillId="0" borderId="57" xfId="0" applyBorder="1"/>
    <xf numFmtId="0" fontId="0" fillId="0" borderId="58" xfId="0" applyBorder="1"/>
    <xf numFmtId="0" fontId="47" fillId="4" borderId="0" xfId="0" applyFont="1" applyFill="1" applyAlignment="1">
      <alignment horizontal="left"/>
    </xf>
    <xf numFmtId="0" fontId="10" fillId="4" borderId="0" xfId="0" applyFont="1" applyFill="1" applyAlignment="1">
      <alignment vertical="center"/>
    </xf>
    <xf numFmtId="0" fontId="0" fillId="26" borderId="0" xfId="0" applyFont="1" applyFill="1" applyAlignment="1">
      <alignment horizontal="right"/>
    </xf>
    <xf numFmtId="0" fontId="47" fillId="26" borderId="0" xfId="0" applyFont="1" applyFill="1" applyAlignment="1">
      <alignment horizontal="left"/>
    </xf>
    <xf numFmtId="0" fontId="66" fillId="4" borderId="0" xfId="0" quotePrefix="1" applyFont="1" applyFill="1" applyAlignment="1">
      <alignment horizontal="left"/>
    </xf>
    <xf numFmtId="205" fontId="61" fillId="4" borderId="60" xfId="0" quotePrefix="1" applyNumberFormat="1" applyFont="1" applyFill="1" applyBorder="1" applyAlignment="1">
      <alignment horizontal="left" vertical="top" wrapText="1"/>
    </xf>
    <xf numFmtId="174" fontId="12" fillId="3" borderId="59" xfId="0" applyNumberFormat="1" applyFont="1" applyFill="1" applyBorder="1" applyAlignment="1">
      <alignment horizontal="center" vertical="center"/>
    </xf>
    <xf numFmtId="0" fontId="60" fillId="0" borderId="48" xfId="0" applyFont="1" applyFill="1" applyBorder="1" applyAlignment="1">
      <alignment horizontal="right"/>
    </xf>
    <xf numFmtId="13" fontId="87" fillId="25" borderId="0" xfId="0" applyNumberFormat="1" applyFont="1" applyFill="1" applyBorder="1" applyAlignment="1">
      <alignment horizontal="left"/>
    </xf>
    <xf numFmtId="0" fontId="60" fillId="0" borderId="50" xfId="0" applyFont="1" applyFill="1" applyBorder="1" applyAlignment="1">
      <alignment horizontal="right"/>
    </xf>
    <xf numFmtId="13" fontId="87" fillId="25" borderId="51" xfId="0" applyNumberFormat="1" applyFont="1" applyFill="1" applyBorder="1" applyAlignment="1">
      <alignment horizontal="left"/>
    </xf>
    <xf numFmtId="13" fontId="87" fillId="25" borderId="52" xfId="0" applyNumberFormat="1" applyFont="1" applyFill="1" applyBorder="1" applyAlignment="1">
      <alignment horizontal="left"/>
    </xf>
    <xf numFmtId="0" fontId="83" fillId="14" borderId="0" xfId="0" quotePrefix="1" applyNumberFormat="1" applyFont="1" applyFill="1" applyBorder="1" applyAlignment="1">
      <alignment horizontal="left" wrapText="1"/>
    </xf>
    <xf numFmtId="0" fontId="0" fillId="0" borderId="0" xfId="0" applyNumberFormat="1" applyAlignment="1">
      <alignment horizontal="left"/>
    </xf>
    <xf numFmtId="0" fontId="60" fillId="0" borderId="0" xfId="0" applyFont="1" applyFill="1" applyBorder="1" applyAlignment="1">
      <alignment horizontal="right"/>
    </xf>
    <xf numFmtId="0" fontId="87" fillId="25" borderId="0" xfId="0" applyNumberFormat="1" applyFont="1" applyFill="1" applyBorder="1" applyAlignment="1">
      <alignment horizontal="left"/>
    </xf>
    <xf numFmtId="0" fontId="87" fillId="25" borderId="51" xfId="0" applyNumberFormat="1" applyFont="1" applyFill="1" applyBorder="1" applyAlignment="1">
      <alignment horizontal="left"/>
    </xf>
    <xf numFmtId="206" fontId="67" fillId="4" borderId="53" xfId="0" quotePrefix="1" applyNumberFormat="1" applyFont="1" applyFill="1" applyBorder="1" applyAlignment="1">
      <alignment horizontal="right" vertical="center"/>
    </xf>
    <xf numFmtId="206" fontId="67" fillId="4" borderId="58" xfId="0" quotePrefix="1" applyNumberFormat="1" applyFont="1" applyFill="1" applyBorder="1" applyAlignment="1">
      <alignment horizontal="right" vertical="center" wrapText="1"/>
    </xf>
    <xf numFmtId="206" fontId="67" fillId="4" borderId="52" xfId="0" quotePrefix="1" applyNumberFormat="1" applyFont="1" applyFill="1" applyBorder="1" applyAlignment="1">
      <alignment horizontal="right" vertical="center" wrapText="1"/>
    </xf>
    <xf numFmtId="49" fontId="67" fillId="5" borderId="0" xfId="0" applyNumberFormat="1" applyFont="1" applyFill="1" applyAlignment="1">
      <alignment horizontal="left" vertical="top"/>
    </xf>
    <xf numFmtId="0" fontId="75" fillId="5" borderId="0" xfId="0" applyFont="1" applyFill="1" applyAlignment="1">
      <alignment horizontal="left"/>
    </xf>
    <xf numFmtId="0" fontId="67" fillId="5" borderId="0" xfId="0" applyFont="1" applyFill="1" applyAlignment="1">
      <alignment horizontal="left" vertical="top"/>
    </xf>
    <xf numFmtId="0" fontId="67" fillId="5" borderId="0" xfId="0" applyFont="1" applyFill="1" applyAlignment="1">
      <alignment vertical="top"/>
    </xf>
    <xf numFmtId="0" fontId="47" fillId="0" borderId="0" xfId="0" applyNumberFormat="1" applyFont="1" applyAlignment="1">
      <alignment horizontal="left"/>
    </xf>
    <xf numFmtId="206" fontId="82" fillId="14" borderId="62" xfId="0" quotePrefix="1" applyNumberFormat="1" applyFont="1" applyFill="1" applyBorder="1" applyAlignment="1">
      <alignment horizontal="right" vertical="center" wrapText="1"/>
    </xf>
    <xf numFmtId="13" fontId="83" fillId="19" borderId="62" xfId="0" applyNumberFormat="1" applyFont="1" applyFill="1" applyBorder="1" applyAlignment="1">
      <alignment horizontal="left"/>
    </xf>
    <xf numFmtId="206" fontId="68" fillId="19" borderId="62" xfId="0" applyNumberFormat="1" applyFont="1" applyFill="1" applyBorder="1" applyAlignment="1">
      <alignment horizontal="right"/>
    </xf>
    <xf numFmtId="210" fontId="82" fillId="14" borderId="62" xfId="0" quotePrefix="1" applyNumberFormat="1" applyFont="1" applyFill="1" applyBorder="1" applyAlignment="1">
      <alignment horizontal="right" vertical="center" wrapText="1"/>
    </xf>
    <xf numFmtId="0" fontId="83" fillId="19" borderId="64" xfId="0" applyFont="1" applyFill="1" applyBorder="1" applyAlignment="1">
      <alignment horizontal="left"/>
    </xf>
    <xf numFmtId="0" fontId="61" fillId="4" borderId="49" xfId="0" quotePrefix="1" applyNumberFormat="1" applyFont="1" applyFill="1" applyBorder="1" applyAlignment="1">
      <alignment horizontal="right" vertical="center" wrapText="1"/>
    </xf>
    <xf numFmtId="0" fontId="61" fillId="4" borderId="57" xfId="0" quotePrefix="1" applyNumberFormat="1" applyFont="1" applyFill="1" applyBorder="1" applyAlignment="1">
      <alignment horizontal="right" vertical="center" wrapText="1"/>
    </xf>
    <xf numFmtId="0" fontId="61" fillId="4" borderId="58" xfId="0" quotePrefix="1" applyNumberFormat="1" applyFont="1" applyFill="1" applyBorder="1" applyAlignment="1">
      <alignment horizontal="right" vertical="center" wrapText="1"/>
    </xf>
    <xf numFmtId="0" fontId="61" fillId="4" borderId="52" xfId="0" quotePrefix="1" applyNumberFormat="1" applyFont="1" applyFill="1" applyBorder="1" applyAlignment="1">
      <alignment horizontal="right" vertical="center" wrapText="1"/>
    </xf>
    <xf numFmtId="0" fontId="66" fillId="4" borderId="49" xfId="0" quotePrefix="1" applyNumberFormat="1" applyFont="1" applyFill="1" applyBorder="1" applyAlignment="1">
      <alignment horizontal="left" vertical="center" wrapText="1"/>
    </xf>
    <xf numFmtId="0" fontId="66" fillId="4" borderId="52" xfId="0" quotePrefix="1" applyNumberFormat="1" applyFont="1" applyFill="1" applyBorder="1" applyAlignment="1">
      <alignment horizontal="left" vertical="center" wrapText="1"/>
    </xf>
    <xf numFmtId="0" fontId="61" fillId="0" borderId="48" xfId="0" quotePrefix="1" applyNumberFormat="1" applyFont="1" applyFill="1" applyBorder="1" applyAlignment="1">
      <alignment horizontal="center" vertical="center" wrapText="1"/>
    </xf>
    <xf numFmtId="0" fontId="0" fillId="0" borderId="49" xfId="0" applyBorder="1"/>
    <xf numFmtId="0" fontId="61" fillId="0" borderId="50" xfId="0" quotePrefix="1" applyNumberFormat="1" applyFont="1" applyFill="1" applyBorder="1" applyAlignment="1">
      <alignment horizontal="center" vertical="center" wrapText="1"/>
    </xf>
    <xf numFmtId="0" fontId="0" fillId="0" borderId="52" xfId="0" applyBorder="1"/>
    <xf numFmtId="0" fontId="75" fillId="0" borderId="54" xfId="0" applyFont="1" applyBorder="1" applyAlignment="1">
      <alignment horizontal="center"/>
    </xf>
    <xf numFmtId="0" fontId="0" fillId="0" borderId="56" xfId="0" applyBorder="1"/>
    <xf numFmtId="178" fontId="0" fillId="0" borderId="0" xfId="0" applyNumberFormat="1" applyFill="1" applyBorder="1" applyAlignment="1">
      <alignment horizontal="center"/>
    </xf>
    <xf numFmtId="178" fontId="0" fillId="0" borderId="51" xfId="0" applyNumberFormat="1" applyFill="1" applyBorder="1" applyAlignment="1">
      <alignment horizontal="center"/>
    </xf>
    <xf numFmtId="0" fontId="75" fillId="0" borderId="55" xfId="0" applyFont="1" applyBorder="1" applyAlignment="1">
      <alignment horizontal="center"/>
    </xf>
    <xf numFmtId="13" fontId="82" fillId="19" borderId="62" xfId="0" applyNumberFormat="1" applyFont="1" applyFill="1" applyBorder="1" applyAlignment="1">
      <alignment horizontal="center"/>
    </xf>
    <xf numFmtId="178" fontId="82" fillId="19" borderId="62" xfId="0" applyNumberFormat="1" applyFont="1" applyFill="1" applyBorder="1" applyAlignment="1">
      <alignment horizontal="center"/>
    </xf>
    <xf numFmtId="0" fontId="73" fillId="19" borderId="0" xfId="0" applyNumberFormat="1" applyFont="1" applyFill="1" applyAlignment="1">
      <alignment horizontal="left"/>
    </xf>
    <xf numFmtId="0" fontId="61" fillId="4" borderId="0" xfId="0" quotePrefix="1" applyFont="1" applyFill="1" applyAlignment="1">
      <alignment horizontal="left" vertical="top" wrapText="1"/>
    </xf>
    <xf numFmtId="0" fontId="42" fillId="0" borderId="5" xfId="0" applyFont="1" applyFill="1" applyBorder="1"/>
    <xf numFmtId="0" fontId="10" fillId="0" borderId="6" xfId="0" applyFont="1" applyFill="1" applyBorder="1"/>
    <xf numFmtId="0" fontId="10" fillId="0" borderId="7" xfId="0" applyFont="1" applyFill="1" applyBorder="1"/>
    <xf numFmtId="0" fontId="61" fillId="4" borderId="0" xfId="0" quotePrefix="1" applyFont="1" applyFill="1" applyAlignment="1">
      <alignment vertical="top"/>
    </xf>
    <xf numFmtId="0" fontId="12" fillId="0" borderId="0" xfId="0" applyFont="1" applyFill="1" applyBorder="1"/>
    <xf numFmtId="0" fontId="0" fillId="17" borderId="0" xfId="0" applyFont="1" applyFill="1" applyBorder="1" applyAlignment="1">
      <alignment vertical="top"/>
    </xf>
    <xf numFmtId="0" fontId="0" fillId="17" borderId="48" xfId="0" applyFont="1" applyFill="1" applyBorder="1" applyAlignment="1">
      <alignment vertical="top"/>
    </xf>
    <xf numFmtId="0" fontId="0" fillId="17" borderId="49" xfId="0" applyFont="1" applyFill="1" applyBorder="1" applyAlignment="1">
      <alignment vertical="top"/>
    </xf>
    <xf numFmtId="0" fontId="25" fillId="0" borderId="48" xfId="0" applyFont="1" applyFill="1" applyBorder="1" applyAlignment="1">
      <alignment horizontal="left"/>
    </xf>
    <xf numFmtId="0" fontId="12" fillId="0" borderId="49" xfId="0" applyFont="1" applyFill="1" applyBorder="1"/>
    <xf numFmtId="0" fontId="32" fillId="0" borderId="48" xfId="0" applyFont="1" applyFill="1" applyBorder="1"/>
    <xf numFmtId="0" fontId="32" fillId="0" borderId="50" xfId="0" applyFont="1" applyFill="1" applyBorder="1"/>
    <xf numFmtId="0" fontId="12" fillId="0" borderId="51" xfId="0" applyFont="1" applyFill="1" applyBorder="1"/>
    <xf numFmtId="0" fontId="12" fillId="0" borderId="52" xfId="0" applyFont="1" applyFill="1" applyBorder="1"/>
    <xf numFmtId="0" fontId="42" fillId="0" borderId="54" xfId="0" applyFont="1" applyFill="1" applyBorder="1"/>
    <xf numFmtId="0" fontId="10" fillId="0" borderId="55" xfId="0" applyFont="1" applyFill="1" applyBorder="1"/>
    <xf numFmtId="0" fontId="10" fillId="0" borderId="56" xfId="0" applyFont="1" applyFill="1" applyBorder="1"/>
    <xf numFmtId="49" fontId="75" fillId="0" borderId="0" xfId="0" applyNumberFormat="1" applyFont="1" applyAlignment="1">
      <alignment horizontal="left" vertical="top"/>
    </xf>
    <xf numFmtId="0" fontId="62" fillId="4" borderId="0" xfId="0" quotePrefix="1" applyFont="1" applyFill="1" applyAlignment="1">
      <alignment horizontal="right" vertical="top"/>
    </xf>
    <xf numFmtId="0" fontId="67" fillId="4" borderId="0" xfId="0" quotePrefix="1" applyFont="1" applyFill="1" applyAlignment="1">
      <alignment horizontal="right" vertical="top"/>
    </xf>
    <xf numFmtId="211" fontId="0" fillId="0" borderId="0" xfId="0" applyNumberFormat="1" applyAlignment="1">
      <alignment horizontal="right"/>
    </xf>
    <xf numFmtId="211" fontId="0" fillId="0" borderId="0" xfId="0" applyNumberFormat="1"/>
    <xf numFmtId="0" fontId="25" fillId="0" borderId="14" xfId="0" applyFont="1" applyFill="1" applyBorder="1" applyAlignment="1">
      <alignment vertical="top"/>
    </xf>
    <xf numFmtId="211" fontId="0" fillId="0" borderId="0" xfId="0" applyNumberFormat="1" applyAlignment="1">
      <alignment vertical="top"/>
    </xf>
    <xf numFmtId="0" fontId="10" fillId="0" borderId="0" xfId="0" applyFont="1" applyAlignment="1">
      <alignment vertical="top"/>
    </xf>
    <xf numFmtId="0" fontId="13" fillId="0" borderId="0" xfId="0" applyFont="1" applyAlignment="1">
      <alignment horizontal="justify" vertical="top"/>
    </xf>
    <xf numFmtId="0" fontId="10" fillId="0" borderId="0" xfId="0" applyFont="1" applyAlignment="1">
      <alignment horizontal="right" vertical="top"/>
    </xf>
    <xf numFmtId="0" fontId="25" fillId="0" borderId="14" xfId="0" applyFont="1" applyFill="1" applyBorder="1" applyAlignment="1">
      <alignment horizontal="left" vertical="top"/>
    </xf>
    <xf numFmtId="0" fontId="12" fillId="0" borderId="15" xfId="0" applyNumberFormat="1" applyFont="1" applyFill="1" applyBorder="1" applyAlignment="1">
      <alignment vertical="top"/>
    </xf>
    <xf numFmtId="0" fontId="13" fillId="0" borderId="0" xfId="0" applyFont="1" applyAlignment="1">
      <alignment vertical="top"/>
    </xf>
    <xf numFmtId="0" fontId="32" fillId="0" borderId="14" xfId="0" applyFont="1" applyFill="1" applyBorder="1" applyAlignment="1">
      <alignment vertical="top"/>
    </xf>
    <xf numFmtId="0" fontId="32" fillId="0" borderId="22" xfId="0" applyFont="1" applyFill="1" applyBorder="1" applyAlignment="1">
      <alignment vertical="top"/>
    </xf>
    <xf numFmtId="0" fontId="12" fillId="0" borderId="23" xfId="0" applyFont="1" applyFill="1" applyBorder="1" applyAlignment="1">
      <alignment vertical="top"/>
    </xf>
    <xf numFmtId="0" fontId="12" fillId="0" borderId="24" xfId="0" applyNumberFormat="1" applyFont="1" applyFill="1" applyBorder="1" applyAlignment="1">
      <alignment vertical="top"/>
    </xf>
    <xf numFmtId="0" fontId="8" fillId="5" borderId="0" xfId="0" applyFont="1" applyFill="1" applyAlignment="1">
      <alignment horizontal="left"/>
    </xf>
    <xf numFmtId="168" fontId="0" fillId="0" borderId="0" xfId="0" applyNumberFormat="1" applyFont="1" applyBorder="1" applyAlignment="1">
      <alignment vertical="top"/>
    </xf>
    <xf numFmtId="0" fontId="10" fillId="0" borderId="51" xfId="0" applyFont="1" applyBorder="1"/>
    <xf numFmtId="0" fontId="47" fillId="0" borderId="49" xfId="0" applyNumberFormat="1" applyFont="1" applyBorder="1" applyAlignment="1">
      <alignment horizontal="left"/>
    </xf>
    <xf numFmtId="0" fontId="0" fillId="0" borderId="48" xfId="0" applyFont="1" applyBorder="1" applyAlignment="1">
      <alignment horizontal="right" vertical="top"/>
    </xf>
    <xf numFmtId="0" fontId="0" fillId="0" borderId="49" xfId="0" applyNumberFormat="1" applyFont="1" applyFill="1" applyBorder="1" applyAlignment="1">
      <alignment horizontal="left"/>
    </xf>
    <xf numFmtId="0" fontId="61" fillId="4" borderId="0" xfId="0" quotePrefix="1" applyFont="1" applyFill="1" applyAlignment="1">
      <alignment horizontal="left" vertical="top" wrapText="1"/>
    </xf>
    <xf numFmtId="0" fontId="61" fillId="4" borderId="0" xfId="0" quotePrefix="1" applyFont="1" applyFill="1" applyAlignment="1">
      <alignment horizontal="left" vertical="center" wrapText="1"/>
    </xf>
    <xf numFmtId="0" fontId="12" fillId="0" borderId="27" xfId="0" applyFont="1" applyFill="1" applyBorder="1" applyAlignment="1"/>
    <xf numFmtId="0" fontId="12" fillId="0" borderId="0" xfId="0" applyFont="1" applyAlignment="1"/>
    <xf numFmtId="211" fontId="12" fillId="0" borderId="27" xfId="0" applyNumberFormat="1" applyFont="1" applyFill="1" applyBorder="1" applyAlignment="1"/>
    <xf numFmtId="0" fontId="60" fillId="0" borderId="0" xfId="0" applyFont="1" applyAlignment="1"/>
    <xf numFmtId="0" fontId="26" fillId="2" borderId="0" xfId="0" applyFont="1" applyFill="1" applyAlignment="1">
      <alignment horizontal="right"/>
    </xf>
    <xf numFmtId="0" fontId="0" fillId="0" borderId="48" xfId="0" applyFont="1" applyBorder="1" applyAlignment="1"/>
    <xf numFmtId="211" fontId="10" fillId="0" borderId="0" xfId="0" applyNumberFormat="1" applyFont="1" applyAlignment="1"/>
    <xf numFmtId="0" fontId="10" fillId="0" borderId="0" xfId="0" applyFont="1" applyAlignment="1"/>
    <xf numFmtId="182" fontId="0" fillId="0" borderId="49" xfId="0" applyNumberFormat="1" applyFont="1" applyBorder="1" applyAlignment="1">
      <alignment horizontal="left"/>
    </xf>
    <xf numFmtId="0" fontId="0" fillId="0" borderId="0" xfId="0" applyFont="1" applyBorder="1" applyAlignment="1"/>
    <xf numFmtId="182" fontId="0" fillId="0" borderId="0" xfId="0" applyNumberFormat="1" applyFont="1" applyAlignment="1">
      <alignment horizontal="left"/>
    </xf>
    <xf numFmtId="0" fontId="10" fillId="0" borderId="27" xfId="0" applyFont="1" applyBorder="1" applyAlignment="1"/>
    <xf numFmtId="0" fontId="12" fillId="0" borderId="48" xfId="0" applyFont="1" applyBorder="1" applyAlignment="1"/>
    <xf numFmtId="0" fontId="12" fillId="0" borderId="49" xfId="0" applyFont="1" applyBorder="1" applyAlignment="1"/>
    <xf numFmtId="0" fontId="12" fillId="0" borderId="0" xfId="0" applyFont="1" applyBorder="1" applyAlignment="1"/>
    <xf numFmtId="0" fontId="12" fillId="0" borderId="27" xfId="0" applyFont="1" applyBorder="1" applyAlignment="1"/>
    <xf numFmtId="0" fontId="12" fillId="0" borderId="28" xfId="0" applyFont="1" applyBorder="1" applyAlignment="1"/>
    <xf numFmtId="211" fontId="0" fillId="0" borderId="0" xfId="0" applyNumberFormat="1" applyAlignment="1"/>
    <xf numFmtId="169" fontId="0" fillId="0" borderId="48" xfId="0" applyNumberFormat="1" applyFont="1" applyBorder="1" applyAlignment="1"/>
    <xf numFmtId="0" fontId="0" fillId="0" borderId="49" xfId="0" applyFont="1" applyBorder="1" applyAlignment="1"/>
    <xf numFmtId="169" fontId="12" fillId="0" borderId="0" xfId="0" applyNumberFormat="1" applyFont="1" applyBorder="1" applyAlignment="1"/>
    <xf numFmtId="169" fontId="12" fillId="0" borderId="27" xfId="0" applyNumberFormat="1" applyFont="1" applyBorder="1" applyAlignment="1"/>
    <xf numFmtId="0" fontId="0" fillId="0" borderId="27" xfId="0" applyFont="1" applyBorder="1" applyAlignment="1">
      <alignment horizontal="right"/>
    </xf>
    <xf numFmtId="0" fontId="0" fillId="0" borderId="28" xfId="0" applyFont="1" applyBorder="1" applyAlignment="1"/>
    <xf numFmtId="0" fontId="8" fillId="0" borderId="49" xfId="0" applyFont="1" applyBorder="1" applyAlignment="1"/>
    <xf numFmtId="0" fontId="38" fillId="0" borderId="0" xfId="0" applyFont="1" applyAlignment="1"/>
    <xf numFmtId="0" fontId="38" fillId="0" borderId="28" xfId="0" applyFont="1" applyBorder="1" applyAlignment="1"/>
    <xf numFmtId="0" fontId="37" fillId="0" borderId="0" xfId="0" applyFont="1" applyAlignment="1">
      <alignment horizontal="justify"/>
    </xf>
    <xf numFmtId="0" fontId="10" fillId="0" borderId="48" xfId="0" applyFont="1" applyBorder="1" applyAlignment="1"/>
    <xf numFmtId="0" fontId="10" fillId="0" borderId="49" xfId="0" applyFont="1" applyBorder="1" applyAlignment="1"/>
    <xf numFmtId="0" fontId="10" fillId="0" borderId="0" xfId="0" applyFont="1" applyBorder="1" applyAlignment="1"/>
    <xf numFmtId="0" fontId="10" fillId="0" borderId="28" xfId="0" applyFont="1" applyBorder="1" applyAlignment="1"/>
    <xf numFmtId="49" fontId="26" fillId="5" borderId="0" xfId="0" applyNumberFormat="1" applyFont="1" applyFill="1" applyAlignment="1">
      <alignment horizontal="left"/>
    </xf>
    <xf numFmtId="0" fontId="26" fillId="5" borderId="0" xfId="0" applyFont="1" applyFill="1" applyAlignment="1"/>
    <xf numFmtId="0" fontId="26" fillId="5" borderId="27" xfId="0" applyFont="1" applyFill="1" applyBorder="1" applyAlignment="1"/>
    <xf numFmtId="211" fontId="0" fillId="0" borderId="0" xfId="0" applyNumberFormat="1" applyFont="1" applyAlignment="1"/>
    <xf numFmtId="182" fontId="45" fillId="0" borderId="49" xfId="0" applyNumberFormat="1" applyFont="1" applyBorder="1" applyAlignment="1">
      <alignment horizontal="left"/>
    </xf>
    <xf numFmtId="0" fontId="45" fillId="0" borderId="49" xfId="0" applyFont="1" applyBorder="1" applyAlignment="1"/>
    <xf numFmtId="0" fontId="0" fillId="0" borderId="27" xfId="0" applyBorder="1" applyAlignment="1"/>
    <xf numFmtId="0" fontId="60" fillId="0" borderId="0" xfId="0" applyFont="1" applyAlignment="1">
      <alignment horizontal="left"/>
    </xf>
    <xf numFmtId="0" fontId="0" fillId="2" borderId="0" xfId="0" applyFont="1" applyFill="1" applyAlignment="1">
      <alignment horizontal="right"/>
    </xf>
    <xf numFmtId="0" fontId="45" fillId="0" borderId="48" xfId="0" applyFont="1" applyBorder="1" applyAlignment="1"/>
    <xf numFmtId="0" fontId="0" fillId="0" borderId="48" xfId="0" applyFont="1" applyBorder="1" applyAlignment="1">
      <alignment horizontal="right"/>
    </xf>
    <xf numFmtId="0" fontId="0" fillId="0" borderId="48" xfId="0" applyFont="1" applyFill="1" applyBorder="1" applyAlignment="1">
      <alignment horizontal="right"/>
    </xf>
    <xf numFmtId="0" fontId="33" fillId="0" borderId="0" xfId="0" applyFont="1" applyAlignment="1">
      <alignment horizontal="justify"/>
    </xf>
    <xf numFmtId="0" fontId="61" fillId="0" borderId="0" xfId="0" applyFont="1" applyFill="1" applyAlignment="1"/>
    <xf numFmtId="0" fontId="25" fillId="0" borderId="0" xfId="0" applyFont="1" applyFill="1" applyAlignment="1"/>
    <xf numFmtId="0" fontId="11" fillId="0" borderId="0" xfId="0" applyFont="1" applyFill="1" applyAlignment="1">
      <alignment horizontal="right"/>
    </xf>
    <xf numFmtId="49" fontId="12" fillId="0" borderId="27" xfId="0" applyNumberFormat="1" applyFont="1" applyFill="1" applyBorder="1" applyAlignment="1">
      <alignment horizontal="left"/>
    </xf>
    <xf numFmtId="0" fontId="61" fillId="0" borderId="0" xfId="0" applyFont="1" applyAlignment="1">
      <alignment horizontal="left"/>
    </xf>
    <xf numFmtId="0" fontId="12" fillId="0" borderId="0" xfId="0" applyFont="1" applyFill="1" applyBorder="1" applyAlignment="1"/>
    <xf numFmtId="0" fontId="6" fillId="0" borderId="0" xfId="0" applyFont="1" applyAlignment="1">
      <alignment vertical="center"/>
    </xf>
    <xf numFmtId="211" fontId="60" fillId="0" borderId="0" xfId="0" applyNumberFormat="1" applyFont="1" applyAlignment="1">
      <alignment vertical="top"/>
    </xf>
    <xf numFmtId="0" fontId="10" fillId="0" borderId="0" xfId="0" applyFont="1" applyFill="1" applyBorder="1"/>
    <xf numFmtId="0" fontId="0" fillId="0" borderId="49" xfId="0" applyNumberFormat="1" applyFont="1" applyBorder="1" applyAlignment="1">
      <alignment horizontal="left" vertical="top"/>
    </xf>
    <xf numFmtId="0" fontId="61" fillId="4" borderId="0" xfId="0" quotePrefix="1" applyFont="1" applyFill="1" applyAlignment="1">
      <alignment horizontal="left" wrapText="1"/>
    </xf>
    <xf numFmtId="206" fontId="67" fillId="4" borderId="0" xfId="0" quotePrefix="1" applyNumberFormat="1" applyFont="1" applyFill="1" applyBorder="1" applyAlignment="1">
      <alignment horizontal="right"/>
    </xf>
    <xf numFmtId="0" fontId="61" fillId="4" borderId="0" xfId="0" quotePrefix="1" applyFont="1" applyFill="1" applyAlignment="1">
      <alignment horizontal="left"/>
    </xf>
    <xf numFmtId="0" fontId="60" fillId="0" borderId="48" xfId="0" applyFont="1" applyBorder="1" applyAlignment="1"/>
    <xf numFmtId="0" fontId="61" fillId="0" borderId="0" xfId="0" applyFont="1" applyFill="1" applyBorder="1" applyAlignment="1"/>
    <xf numFmtId="0" fontId="87" fillId="0" borderId="49" xfId="0" applyNumberFormat="1" applyFont="1" applyBorder="1" applyAlignment="1">
      <alignment horizontal="left"/>
    </xf>
    <xf numFmtId="0" fontId="92" fillId="0" borderId="0" xfId="0" applyFont="1" applyFill="1" applyBorder="1" applyAlignment="1"/>
    <xf numFmtId="0" fontId="92" fillId="0" borderId="0" xfId="0" applyFont="1" applyFill="1" applyAlignment="1"/>
    <xf numFmtId="0" fontId="0" fillId="0" borderId="45" xfId="0" applyBorder="1" applyAlignment="1">
      <alignment horizontal="right"/>
    </xf>
    <xf numFmtId="0" fontId="0" fillId="0" borderId="45" xfId="0" applyFont="1" applyBorder="1" applyAlignment="1">
      <alignment horizontal="right"/>
    </xf>
    <xf numFmtId="0" fontId="47" fillId="0" borderId="47" xfId="0" applyNumberFormat="1" applyFont="1" applyBorder="1" applyAlignment="1">
      <alignment horizontal="left"/>
    </xf>
    <xf numFmtId="0" fontId="0" fillId="0" borderId="50" xfId="0" applyBorder="1" applyAlignment="1">
      <alignment horizontal="right"/>
    </xf>
    <xf numFmtId="0" fontId="0" fillId="0" borderId="50" xfId="0" applyFont="1" applyBorder="1" applyAlignment="1"/>
    <xf numFmtId="0" fontId="47" fillId="0" borderId="52" xfId="0" applyNumberFormat="1" applyFont="1" applyBorder="1" applyAlignment="1">
      <alignment horizontal="left"/>
    </xf>
    <xf numFmtId="0" fontId="0" fillId="0" borderId="27" xfId="0" applyFont="1" applyFill="1" applyBorder="1" applyAlignment="1">
      <alignment vertical="top"/>
    </xf>
    <xf numFmtId="0" fontId="67" fillId="4" borderId="0" xfId="0" quotePrefix="1" applyFont="1" applyFill="1" applyAlignment="1">
      <alignment horizontal="left" vertical="top"/>
    </xf>
    <xf numFmtId="0" fontId="61" fillId="4" borderId="48" xfId="0" quotePrefix="1" applyFont="1" applyFill="1" applyBorder="1" applyAlignment="1">
      <alignment horizontal="right" vertical="top"/>
    </xf>
    <xf numFmtId="0" fontId="66" fillId="4" borderId="49" xfId="0" quotePrefix="1" applyFont="1" applyFill="1" applyBorder="1" applyAlignment="1">
      <alignment horizontal="left"/>
    </xf>
    <xf numFmtId="0" fontId="61" fillId="4" borderId="48" xfId="0" quotePrefix="1" applyFont="1" applyFill="1" applyBorder="1" applyAlignment="1">
      <alignment horizontal="right"/>
    </xf>
    <xf numFmtId="0" fontId="60" fillId="0" borderId="48" xfId="0" applyFont="1" applyFill="1" applyBorder="1" applyAlignment="1"/>
    <xf numFmtId="0" fontId="61" fillId="4" borderId="49" xfId="0" quotePrefix="1" applyFont="1" applyFill="1" applyBorder="1" applyAlignment="1">
      <alignment horizontal="left" vertical="top"/>
    </xf>
    <xf numFmtId="0" fontId="61" fillId="4" borderId="48" xfId="0" quotePrefix="1" applyFont="1" applyFill="1" applyBorder="1" applyAlignment="1">
      <alignment horizontal="left" vertical="top"/>
    </xf>
    <xf numFmtId="0" fontId="67" fillId="4" borderId="0" xfId="0" quotePrefix="1" applyFont="1" applyFill="1" applyAlignment="1">
      <alignment horizontal="left"/>
    </xf>
    <xf numFmtId="0" fontId="61" fillId="4" borderId="49" xfId="0" quotePrefix="1" applyFont="1" applyFill="1" applyBorder="1" applyAlignment="1">
      <alignment horizontal="left"/>
    </xf>
    <xf numFmtId="0" fontId="61" fillId="4" borderId="0" xfId="0" quotePrefix="1" applyFont="1" applyFill="1" applyBorder="1" applyAlignment="1">
      <alignment horizontal="left" vertical="top" wrapText="1"/>
    </xf>
    <xf numFmtId="0" fontId="60" fillId="0" borderId="48" xfId="0" applyFont="1" applyBorder="1" applyAlignment="1">
      <alignment horizontal="right"/>
    </xf>
    <xf numFmtId="169" fontId="61" fillId="4" borderId="48" xfId="0" quotePrefix="1" applyNumberFormat="1" applyFont="1" applyFill="1" applyBorder="1" applyAlignment="1">
      <alignment horizontal="right"/>
    </xf>
    <xf numFmtId="0" fontId="61" fillId="4" borderId="0" xfId="0" quotePrefix="1" applyFont="1" applyFill="1" applyBorder="1" applyAlignment="1">
      <alignment horizontal="left"/>
    </xf>
    <xf numFmtId="0" fontId="0" fillId="0" borderId="48" xfId="0" applyFont="1" applyFill="1" applyBorder="1" applyAlignment="1">
      <alignment vertical="top"/>
    </xf>
    <xf numFmtId="0" fontId="0" fillId="0" borderId="49" xfId="0" applyFont="1" applyFill="1" applyBorder="1" applyAlignment="1">
      <alignment vertical="top"/>
    </xf>
    <xf numFmtId="0" fontId="61" fillId="4" borderId="0" xfId="0" quotePrefix="1" applyFont="1" applyFill="1" applyBorder="1" applyAlignment="1">
      <alignment horizontal="right"/>
    </xf>
    <xf numFmtId="0" fontId="0" fillId="0" borderId="45" xfId="0" applyFont="1" applyBorder="1" applyAlignment="1"/>
    <xf numFmtId="169" fontId="0" fillId="0" borderId="48" xfId="0" applyNumberFormat="1" applyFont="1" applyFill="1" applyBorder="1" applyAlignment="1">
      <alignment vertical="top"/>
    </xf>
    <xf numFmtId="0" fontId="87" fillId="0" borderId="49" xfId="0" applyNumberFormat="1" applyFont="1" applyFill="1" applyBorder="1" applyAlignment="1">
      <alignment horizontal="left"/>
    </xf>
    <xf numFmtId="0" fontId="0" fillId="0" borderId="47" xfId="0" applyBorder="1"/>
    <xf numFmtId="0" fontId="0" fillId="0" borderId="48" xfId="0" applyBorder="1"/>
    <xf numFmtId="0" fontId="26" fillId="5" borderId="0" xfId="0" applyFont="1" applyFill="1" applyBorder="1" applyAlignment="1"/>
    <xf numFmtId="49" fontId="26" fillId="28" borderId="0" xfId="0" applyNumberFormat="1" applyFont="1" applyFill="1" applyAlignment="1">
      <alignment horizontal="left"/>
    </xf>
    <xf numFmtId="0" fontId="8" fillId="28" borderId="0" xfId="0" applyFont="1" applyFill="1" applyAlignment="1">
      <alignment horizontal="left"/>
    </xf>
    <xf numFmtId="0" fontId="26" fillId="28" borderId="0" xfId="0" applyFont="1" applyFill="1" applyAlignment="1"/>
    <xf numFmtId="0" fontId="26" fillId="28" borderId="48" xfId="0" applyFont="1" applyFill="1" applyBorder="1" applyAlignment="1">
      <alignment horizontal="center"/>
    </xf>
    <xf numFmtId="0" fontId="26" fillId="28" borderId="49" xfId="0" applyFont="1" applyFill="1" applyBorder="1" applyAlignment="1">
      <alignment horizontal="center"/>
    </xf>
    <xf numFmtId="0" fontId="26" fillId="28" borderId="0" xfId="0" applyFont="1" applyFill="1" applyBorder="1" applyAlignment="1">
      <alignment horizontal="center"/>
    </xf>
    <xf numFmtId="0" fontId="26" fillId="28" borderId="0" xfId="0" applyFont="1" applyFill="1" applyBorder="1" applyAlignment="1"/>
    <xf numFmtId="0" fontId="82" fillId="14" borderId="48" xfId="0" quotePrefix="1" applyFont="1" applyFill="1" applyBorder="1" applyAlignment="1">
      <alignment horizontal="right"/>
    </xf>
    <xf numFmtId="0" fontId="83" fillId="14" borderId="49" xfId="0" quotePrefix="1" applyFont="1" applyFill="1" applyBorder="1" applyAlignment="1">
      <alignment horizontal="left"/>
    </xf>
    <xf numFmtId="0" fontId="61" fillId="4" borderId="0" xfId="0" quotePrefix="1" applyFont="1" applyFill="1" applyAlignment="1">
      <alignment horizontal="right"/>
    </xf>
    <xf numFmtId="0" fontId="61" fillId="4" borderId="45" xfId="0" quotePrefix="1" applyFont="1" applyFill="1" applyBorder="1" applyAlignment="1">
      <alignment horizontal="left"/>
    </xf>
    <xf numFmtId="0" fontId="61" fillId="4" borderId="45" xfId="0" quotePrefix="1" applyFont="1" applyFill="1" applyBorder="1" applyAlignment="1">
      <alignment horizontal="right"/>
    </xf>
    <xf numFmtId="0" fontId="61" fillId="4" borderId="47" xfId="0" quotePrefix="1" applyFont="1" applyFill="1" applyBorder="1" applyAlignment="1">
      <alignment horizontal="left"/>
    </xf>
    <xf numFmtId="0" fontId="61" fillId="4" borderId="50" xfId="0" quotePrefix="1" applyFont="1" applyFill="1" applyBorder="1" applyAlignment="1">
      <alignment horizontal="left"/>
    </xf>
    <xf numFmtId="0" fontId="61" fillId="4" borderId="50" xfId="0" quotePrefix="1" applyFont="1" applyFill="1" applyBorder="1" applyAlignment="1">
      <alignment horizontal="right"/>
    </xf>
    <xf numFmtId="0" fontId="66" fillId="4" borderId="52" xfId="0" quotePrefix="1" applyFont="1" applyFill="1" applyBorder="1" applyAlignment="1">
      <alignment horizontal="left"/>
    </xf>
    <xf numFmtId="0" fontId="83" fillId="14" borderId="0" xfId="0" quotePrefix="1" applyFont="1" applyFill="1" applyBorder="1" applyAlignment="1">
      <alignment horizontal="left"/>
    </xf>
    <xf numFmtId="0" fontId="82" fillId="14" borderId="0" xfId="0" quotePrefix="1" applyFont="1" applyFill="1" applyBorder="1" applyAlignment="1">
      <alignment horizontal="right"/>
    </xf>
    <xf numFmtId="0" fontId="60" fillId="0" borderId="48" xfId="0" quotePrefix="1" applyFont="1" applyBorder="1" applyAlignment="1"/>
    <xf numFmtId="169" fontId="61" fillId="4" borderId="49" xfId="0" quotePrefix="1" applyNumberFormat="1" applyFont="1" applyFill="1" applyBorder="1" applyAlignment="1">
      <alignment horizontal="left"/>
    </xf>
    <xf numFmtId="0" fontId="61" fillId="4" borderId="49" xfId="0" quotePrefix="1" applyNumberFormat="1" applyFont="1" applyFill="1" applyBorder="1" applyAlignment="1">
      <alignment horizontal="left"/>
    </xf>
    <xf numFmtId="201" fontId="61" fillId="4" borderId="48" xfId="0" quotePrefix="1" applyNumberFormat="1" applyFont="1" applyFill="1" applyBorder="1" applyAlignment="1">
      <alignment horizontal="right"/>
    </xf>
    <xf numFmtId="0" fontId="60" fillId="0" borderId="49" xfId="0" applyNumberFormat="1" applyFont="1" applyBorder="1" applyAlignment="1">
      <alignment horizontal="left"/>
    </xf>
    <xf numFmtId="212" fontId="60" fillId="0" borderId="49" xfId="0" applyNumberFormat="1" applyFont="1" applyBorder="1" applyAlignment="1">
      <alignment horizontal="left"/>
    </xf>
    <xf numFmtId="212" fontId="0" fillId="0" borderId="0" xfId="0" applyNumberFormat="1" applyFont="1"/>
    <xf numFmtId="202" fontId="60" fillId="0" borderId="49" xfId="0" applyNumberFormat="1" applyFont="1" applyBorder="1" applyAlignment="1">
      <alignment horizontal="left"/>
    </xf>
    <xf numFmtId="0" fontId="75" fillId="0" borderId="48" xfId="0" applyFont="1" applyBorder="1" applyAlignment="1">
      <alignment horizontal="right"/>
    </xf>
    <xf numFmtId="0" fontId="60" fillId="0" borderId="48" xfId="0" quotePrefix="1" applyFont="1" applyBorder="1" applyAlignment="1">
      <alignment horizontal="right"/>
    </xf>
    <xf numFmtId="0" fontId="61" fillId="29" borderId="48" xfId="0" quotePrefix="1" applyFont="1" applyFill="1" applyBorder="1" applyAlignment="1">
      <alignment horizontal="right"/>
    </xf>
    <xf numFmtId="0" fontId="66" fillId="29" borderId="49" xfId="0" quotePrefix="1" applyFont="1" applyFill="1" applyBorder="1" applyAlignment="1">
      <alignment horizontal="left"/>
    </xf>
    <xf numFmtId="202" fontId="61" fillId="4" borderId="49" xfId="0" quotePrefix="1" applyNumberFormat="1" applyFont="1" applyFill="1" applyBorder="1" applyAlignment="1">
      <alignment horizontal="left"/>
    </xf>
    <xf numFmtId="213" fontId="61" fillId="4" borderId="48" xfId="0" quotePrefix="1" applyNumberFormat="1" applyFont="1" applyFill="1" applyBorder="1" applyAlignment="1">
      <alignment horizontal="right"/>
    </xf>
    <xf numFmtId="212" fontId="61" fillId="4" borderId="48" xfId="0" quotePrefix="1" applyNumberFormat="1" applyFont="1" applyFill="1" applyBorder="1" applyAlignment="1">
      <alignment horizontal="right"/>
    </xf>
    <xf numFmtId="0" fontId="61" fillId="4" borderId="0" xfId="0" quotePrefix="1" applyFont="1" applyFill="1" applyAlignment="1">
      <alignment horizontal="left" vertical="top" wrapText="1"/>
    </xf>
    <xf numFmtId="0" fontId="61" fillId="4" borderId="0" xfId="0" quotePrefix="1" applyFont="1" applyFill="1" applyBorder="1" applyAlignment="1">
      <alignment horizontal="left" vertical="top" wrapText="1"/>
    </xf>
    <xf numFmtId="0" fontId="61" fillId="4" borderId="0" xfId="0" quotePrefix="1" applyFont="1" applyFill="1" applyAlignment="1">
      <alignment horizontal="left" wrapText="1"/>
    </xf>
    <xf numFmtId="0" fontId="12" fillId="4" borderId="0" xfId="0" applyFont="1" applyFill="1" applyAlignment="1">
      <alignment horizontal="left" vertical="top" wrapText="1"/>
    </xf>
    <xf numFmtId="0" fontId="61" fillId="4" borderId="0" xfId="0" quotePrefix="1" applyFont="1" applyFill="1" applyAlignment="1">
      <alignment horizontal="left" vertical="center" wrapText="1"/>
    </xf>
    <xf numFmtId="202" fontId="66" fillId="4" borderId="49" xfId="0" quotePrefix="1" applyNumberFormat="1" applyFont="1" applyFill="1" applyBorder="1" applyAlignment="1">
      <alignment horizontal="left"/>
    </xf>
    <xf numFmtId="0" fontId="83" fillId="19" borderId="49" xfId="0" applyNumberFormat="1" applyFont="1" applyFill="1" applyBorder="1" applyAlignment="1">
      <alignment horizontal="left"/>
    </xf>
    <xf numFmtId="0" fontId="60" fillId="0" borderId="49" xfId="0" applyNumberFormat="1" applyFont="1" applyFill="1" applyBorder="1" applyAlignment="1">
      <alignment horizontal="left"/>
    </xf>
    <xf numFmtId="0" fontId="61" fillId="24" borderId="48" xfId="0" quotePrefix="1" applyFont="1" applyFill="1" applyBorder="1" applyAlignment="1">
      <alignment horizontal="right"/>
    </xf>
    <xf numFmtId="0" fontId="66" fillId="24" borderId="49" xfId="0" quotePrefix="1" applyFont="1" applyFill="1" applyBorder="1" applyAlignment="1">
      <alignment horizontal="left"/>
    </xf>
    <xf numFmtId="0" fontId="61" fillId="4" borderId="0" xfId="0" quotePrefix="1" applyFont="1" applyFill="1" applyAlignment="1">
      <alignment horizontal="left" wrapText="1"/>
    </xf>
    <xf numFmtId="0" fontId="61" fillId="4" borderId="0" xfId="0" quotePrefix="1" applyFont="1" applyFill="1" applyAlignment="1">
      <alignment horizontal="left" vertical="center"/>
    </xf>
    <xf numFmtId="0" fontId="61" fillId="4" borderId="48" xfId="0" quotePrefix="1" applyFont="1" applyFill="1" applyBorder="1" applyAlignment="1">
      <alignment horizontal="right" vertical="center"/>
    </xf>
    <xf numFmtId="0" fontId="66" fillId="4" borderId="49" xfId="0" quotePrefix="1" applyFont="1" applyFill="1" applyBorder="1" applyAlignment="1">
      <alignment horizontal="left" vertical="center"/>
    </xf>
    <xf numFmtId="0" fontId="0" fillId="0" borderId="50" xfId="0" applyBorder="1"/>
    <xf numFmtId="0" fontId="60" fillId="0" borderId="51" xfId="0" quotePrefix="1" applyFont="1" applyBorder="1" applyAlignment="1">
      <alignment horizontal="right"/>
    </xf>
    <xf numFmtId="0" fontId="61" fillId="4" borderId="0" xfId="0" quotePrefix="1" applyFont="1" applyFill="1" applyBorder="1" applyAlignment="1">
      <alignment horizontal="left" vertical="center" wrapText="1"/>
    </xf>
    <xf numFmtId="49" fontId="61" fillId="22" borderId="43" xfId="0" quotePrefix="1" applyNumberFormat="1" applyFont="1" applyFill="1" applyBorder="1" applyAlignment="1">
      <alignment horizontal="center" vertical="center" wrapText="1"/>
    </xf>
    <xf numFmtId="0" fontId="61" fillId="4" borderId="0" xfId="0" quotePrefix="1" applyFont="1" applyFill="1" applyBorder="1" applyAlignment="1">
      <alignment horizontal="right" wrapText="1"/>
    </xf>
    <xf numFmtId="0" fontId="61" fillId="4" borderId="0" xfId="0" quotePrefix="1" applyFont="1" applyFill="1" applyBorder="1" applyAlignment="1">
      <alignment horizontal="left" wrapText="1"/>
    </xf>
    <xf numFmtId="0" fontId="61" fillId="4" borderId="0" xfId="0" quotePrefix="1" applyFont="1" applyFill="1" applyAlignment="1">
      <alignment horizontal="center" vertical="center" wrapText="1"/>
    </xf>
    <xf numFmtId="0" fontId="61" fillId="4" borderId="0" xfId="0" quotePrefix="1" applyFont="1" applyFill="1" applyBorder="1" applyAlignment="1">
      <alignment horizontal="right" vertical="top"/>
    </xf>
    <xf numFmtId="0" fontId="61" fillId="4" borderId="0" xfId="0" quotePrefix="1" applyFont="1" applyFill="1" applyAlignment="1">
      <alignment horizontal="right" wrapText="1"/>
    </xf>
    <xf numFmtId="0" fontId="62" fillId="4" borderId="0" xfId="0" quotePrefix="1" applyFont="1" applyFill="1" applyAlignment="1">
      <alignment horizontal="left"/>
    </xf>
    <xf numFmtId="0" fontId="61" fillId="22" borderId="43" xfId="0" quotePrefix="1" applyFont="1" applyFill="1" applyBorder="1" applyAlignment="1">
      <alignment horizontal="right"/>
    </xf>
    <xf numFmtId="0" fontId="67" fillId="4" borderId="0" xfId="0" quotePrefix="1" applyFont="1" applyFill="1" applyAlignment="1">
      <alignment horizontal="left" wrapText="1"/>
    </xf>
    <xf numFmtId="0" fontId="94" fillId="4" borderId="49" xfId="0" quotePrefix="1" applyFont="1" applyFill="1" applyBorder="1" applyAlignment="1">
      <alignment horizontal="left"/>
    </xf>
    <xf numFmtId="0" fontId="61" fillId="4" borderId="0" xfId="0" quotePrefix="1" applyFont="1" applyFill="1" applyAlignment="1">
      <alignment horizontal="center"/>
    </xf>
    <xf numFmtId="0" fontId="60" fillId="0" borderId="45" xfId="0" applyFont="1" applyFill="1" applyBorder="1" applyAlignment="1"/>
    <xf numFmtId="0" fontId="87" fillId="0" borderId="47" xfId="0" applyNumberFormat="1" applyFont="1" applyFill="1" applyBorder="1" applyAlignment="1">
      <alignment horizontal="left"/>
    </xf>
    <xf numFmtId="0" fontId="61" fillId="0" borderId="0" xfId="0" applyFont="1"/>
    <xf numFmtId="0" fontId="61" fillId="4" borderId="0" xfId="0" quotePrefix="1" applyFont="1" applyFill="1" applyAlignment="1">
      <alignment horizontal="left" wrapText="1"/>
    </xf>
    <xf numFmtId="0" fontId="0" fillId="30" borderId="0" xfId="0" applyFill="1"/>
    <xf numFmtId="0" fontId="60" fillId="30" borderId="48" xfId="0" applyFont="1" applyFill="1" applyBorder="1" applyAlignment="1"/>
    <xf numFmtId="0" fontId="87" fillId="30" borderId="49" xfId="0" applyNumberFormat="1" applyFont="1" applyFill="1" applyBorder="1" applyAlignment="1">
      <alignment horizontal="left"/>
    </xf>
    <xf numFmtId="0" fontId="26" fillId="5" borderId="66" xfId="0" applyFont="1" applyFill="1" applyBorder="1" applyAlignment="1">
      <alignment horizontal="center"/>
    </xf>
    <xf numFmtId="0" fontId="26" fillId="5" borderId="68" xfId="0" applyFont="1" applyFill="1" applyBorder="1" applyAlignment="1">
      <alignment horizontal="center"/>
    </xf>
    <xf numFmtId="0" fontId="61" fillId="4" borderId="0" xfId="0" quotePrefix="1" applyFont="1" applyFill="1" applyAlignment="1">
      <alignment horizontal="left" vertical="top" wrapText="1"/>
    </xf>
    <xf numFmtId="0" fontId="61" fillId="4" borderId="0" xfId="0" quotePrefix="1" applyFont="1" applyFill="1" applyBorder="1" applyAlignment="1">
      <alignment horizontal="left" vertical="top" wrapText="1"/>
    </xf>
    <xf numFmtId="206" fontId="82" fillId="14" borderId="48" xfId="0" quotePrefix="1" applyNumberFormat="1" applyFont="1" applyFill="1" applyBorder="1" applyAlignment="1">
      <alignment horizontal="center"/>
    </xf>
    <xf numFmtId="0" fontId="82" fillId="14" borderId="49" xfId="0" quotePrefix="1" applyFont="1" applyFill="1" applyBorder="1" applyAlignment="1">
      <alignment horizontal="center"/>
    </xf>
    <xf numFmtId="0" fontId="61" fillId="4" borderId="0" xfId="0" quotePrefix="1" applyFont="1" applyFill="1" applyAlignment="1">
      <alignment horizontal="left" wrapText="1"/>
    </xf>
    <xf numFmtId="0" fontId="61" fillId="4" borderId="49" xfId="0" quotePrefix="1" applyFont="1" applyFill="1" applyBorder="1" applyAlignment="1">
      <alignment horizontal="left" wrapText="1"/>
    </xf>
    <xf numFmtId="206" fontId="82" fillId="14" borderId="0" xfId="0" quotePrefix="1" applyNumberFormat="1" applyFont="1" applyFill="1" applyAlignment="1">
      <alignment horizontal="center"/>
    </xf>
    <xf numFmtId="0" fontId="61" fillId="22" borderId="61" xfId="0" quotePrefix="1" applyFont="1" applyFill="1" applyBorder="1" applyAlignment="1">
      <alignment horizontal="center" vertical="center" wrapText="1"/>
    </xf>
    <xf numFmtId="0" fontId="61" fillId="22" borderId="63" xfId="0" quotePrefix="1" applyFont="1" applyFill="1" applyBorder="1" applyAlignment="1">
      <alignment horizontal="center" vertical="center" wrapText="1"/>
    </xf>
    <xf numFmtId="0" fontId="26" fillId="5" borderId="28" xfId="0" applyFont="1" applyFill="1" applyBorder="1" applyAlignment="1">
      <alignment horizontal="center"/>
    </xf>
    <xf numFmtId="0" fontId="26" fillId="5" borderId="27" xfId="0" applyFont="1" applyFill="1" applyBorder="1" applyAlignment="1">
      <alignment horizontal="center"/>
    </xf>
    <xf numFmtId="0" fontId="60" fillId="0" borderId="48" xfId="0" applyFont="1" applyBorder="1" applyAlignment="1">
      <alignment horizontal="center"/>
    </xf>
    <xf numFmtId="0" fontId="60" fillId="0" borderId="49" xfId="0" applyFont="1" applyBorder="1" applyAlignment="1">
      <alignment horizontal="center"/>
    </xf>
    <xf numFmtId="0" fontId="25" fillId="0" borderId="0" xfId="0" applyFont="1" applyAlignment="1">
      <alignment horizontal="justify" vertical="center"/>
    </xf>
    <xf numFmtId="0" fontId="26" fillId="11" borderId="6" xfId="0" applyFont="1" applyFill="1" applyBorder="1" applyAlignment="1">
      <alignment horizontal="center"/>
    </xf>
    <xf numFmtId="0" fontId="26" fillId="11" borderId="7" xfId="0" applyFont="1" applyFill="1" applyBorder="1" applyAlignment="1">
      <alignment horizontal="center"/>
    </xf>
    <xf numFmtId="0" fontId="6" fillId="0" borderId="0" xfId="0" applyFont="1" applyAlignment="1">
      <alignment horizontal="justify" vertical="center"/>
    </xf>
    <xf numFmtId="0" fontId="82" fillId="14" borderId="61" xfId="0" quotePrefix="1" applyFont="1" applyFill="1" applyBorder="1" applyAlignment="1">
      <alignment horizontal="left" vertical="center" wrapText="1"/>
    </xf>
    <xf numFmtId="0" fontId="82" fillId="14" borderId="63" xfId="0" quotePrefix="1" applyFont="1" applyFill="1" applyBorder="1" applyAlignment="1">
      <alignment horizontal="left" vertical="center" wrapText="1"/>
    </xf>
    <xf numFmtId="0" fontId="61" fillId="22" borderId="61" xfId="0" quotePrefix="1" applyFont="1" applyFill="1" applyBorder="1" applyAlignment="1">
      <alignment horizontal="right" vertical="center" wrapText="1"/>
    </xf>
    <xf numFmtId="0" fontId="61" fillId="22" borderId="62" xfId="0" quotePrefix="1" applyFont="1" applyFill="1" applyBorder="1" applyAlignment="1">
      <alignment horizontal="right" vertical="center" wrapText="1"/>
    </xf>
    <xf numFmtId="0" fontId="61" fillId="22" borderId="63" xfId="0" quotePrefix="1" applyFont="1" applyFill="1" applyBorder="1" applyAlignment="1">
      <alignment horizontal="right" vertical="center" wrapText="1"/>
    </xf>
    <xf numFmtId="0" fontId="61" fillId="22" borderId="61" xfId="0" quotePrefix="1" applyFont="1" applyFill="1" applyBorder="1" applyAlignment="1">
      <alignment horizontal="left"/>
    </xf>
    <xf numFmtId="0" fontId="61" fillId="22" borderId="63" xfId="0" quotePrefix="1" applyFont="1" applyFill="1" applyBorder="1" applyAlignment="1">
      <alignment horizontal="left"/>
    </xf>
    <xf numFmtId="0" fontId="26" fillId="5" borderId="33" xfId="0" applyFont="1" applyFill="1" applyBorder="1" applyAlignment="1">
      <alignment horizontal="center"/>
    </xf>
    <xf numFmtId="0" fontId="7" fillId="0" borderId="27" xfId="0" applyFont="1" applyBorder="1" applyAlignment="1">
      <alignment horizontal="justify"/>
    </xf>
    <xf numFmtId="0" fontId="26" fillId="5" borderId="33"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28" xfId="0" applyFont="1" applyFill="1" applyBorder="1" applyAlignment="1">
      <alignment horizontal="center" vertical="center"/>
    </xf>
    <xf numFmtId="206" fontId="61" fillId="22" borderId="61" xfId="0" quotePrefix="1" applyNumberFormat="1" applyFont="1" applyFill="1" applyBorder="1" applyAlignment="1">
      <alignment horizontal="center" vertical="center" wrapText="1"/>
    </xf>
    <xf numFmtId="206" fontId="61" fillId="22" borderId="63" xfId="0" quotePrefix="1" applyNumberFormat="1" applyFont="1" applyFill="1" applyBorder="1" applyAlignment="1">
      <alignment horizontal="center" vertical="center" wrapText="1"/>
    </xf>
    <xf numFmtId="0" fontId="12" fillId="4" borderId="0" xfId="0" applyFont="1" applyFill="1" applyAlignment="1">
      <alignment horizontal="left" vertical="top" wrapText="1"/>
    </xf>
    <xf numFmtId="0" fontId="38" fillId="0" borderId="0" xfId="0" applyFont="1" applyAlignment="1">
      <alignment horizontal="justify" vertical="center"/>
    </xf>
    <xf numFmtId="0" fontId="6" fillId="0" borderId="0" xfId="0" applyFont="1" applyFill="1" applyAlignment="1">
      <alignment horizontal="justify" vertical="center"/>
    </xf>
    <xf numFmtId="0" fontId="6" fillId="0" borderId="0" xfId="0" applyFont="1" applyFill="1" applyAlignment="1">
      <alignment horizontal="left" vertical="top" wrapText="1"/>
    </xf>
    <xf numFmtId="0" fontId="6" fillId="0" borderId="0" xfId="0" applyFont="1" applyAlignment="1">
      <alignment horizontal="justify" vertical="top" wrapText="1"/>
    </xf>
    <xf numFmtId="0" fontId="6" fillId="0" borderId="0" xfId="0" applyFont="1" applyFill="1" applyAlignment="1">
      <alignment horizontal="justify" vertical="top"/>
    </xf>
    <xf numFmtId="0" fontId="61" fillId="4" borderId="0" xfId="0" quotePrefix="1" applyFont="1" applyFill="1" applyAlignment="1">
      <alignment horizontal="left" vertical="center" wrapText="1"/>
    </xf>
    <xf numFmtId="0" fontId="60" fillId="4" borderId="0" xfId="0" quotePrefix="1" applyFont="1" applyFill="1" applyAlignment="1">
      <alignment horizontal="left" vertical="center" wrapText="1"/>
    </xf>
    <xf numFmtId="0" fontId="0" fillId="0" borderId="0" xfId="0" applyFont="1" applyAlignment="1">
      <alignment horizontal="justify" vertical="center"/>
    </xf>
    <xf numFmtId="0" fontId="61" fillId="27" borderId="0" xfId="0" quotePrefix="1" applyFont="1" applyFill="1" applyAlignment="1">
      <alignment horizontal="left" vertical="top"/>
    </xf>
    <xf numFmtId="0" fontId="12" fillId="22" borderId="61" xfId="0" applyFont="1" applyFill="1" applyBorder="1" applyAlignment="1">
      <alignment horizontal="left" vertical="top" wrapText="1"/>
    </xf>
    <xf numFmtId="0" fontId="12" fillId="22" borderId="63" xfId="0" applyFont="1" applyFill="1" applyBorder="1" applyAlignment="1">
      <alignment horizontal="left" vertical="top" wrapText="1"/>
    </xf>
    <xf numFmtId="0" fontId="61" fillId="22" borderId="61" xfId="0" quotePrefix="1" applyFont="1" applyFill="1" applyBorder="1" applyAlignment="1">
      <alignment horizontal="center"/>
    </xf>
    <xf numFmtId="0" fontId="61" fillId="22" borderId="63" xfId="0" quotePrefix="1" applyFont="1" applyFill="1" applyBorder="1" applyAlignment="1">
      <alignment horizontal="center"/>
    </xf>
    <xf numFmtId="0" fontId="61" fillId="4" borderId="49" xfId="0" quotePrefix="1" applyFont="1" applyFill="1" applyBorder="1" applyAlignment="1">
      <alignment horizontal="left" vertical="top" wrapText="1"/>
    </xf>
    <xf numFmtId="206" fontId="61" fillId="22" borderId="61" xfId="0" quotePrefix="1" applyNumberFormat="1" applyFont="1" applyFill="1" applyBorder="1" applyAlignment="1">
      <alignment horizontal="right"/>
    </xf>
    <xf numFmtId="206" fontId="61" fillId="22" borderId="63" xfId="0" quotePrefix="1" applyNumberFormat="1" applyFont="1" applyFill="1" applyBorder="1" applyAlignment="1">
      <alignment horizontal="right"/>
    </xf>
    <xf numFmtId="0" fontId="33" fillId="0" borderId="0" xfId="0" applyFont="1" applyAlignment="1">
      <alignment horizontal="justify" vertical="top"/>
    </xf>
    <xf numFmtId="0" fontId="40" fillId="10" borderId="31" xfId="0" applyFont="1" applyFill="1" applyBorder="1" applyAlignment="1">
      <alignment horizontal="center" vertical="center"/>
    </xf>
    <xf numFmtId="0" fontId="55" fillId="10" borderId="2" xfId="0" applyFont="1" applyFill="1" applyBorder="1" applyAlignment="1">
      <alignment horizontal="center" vertical="center"/>
    </xf>
    <xf numFmtId="0" fontId="55" fillId="10" borderId="31" xfId="0" applyFont="1" applyFill="1" applyBorder="1" applyAlignment="1">
      <alignment horizontal="center" vertical="center"/>
    </xf>
    <xf numFmtId="0" fontId="26" fillId="0" borderId="0" xfId="0" applyFont="1" applyAlignment="1">
      <alignment horizontal="right"/>
    </xf>
    <xf numFmtId="0" fontId="0" fillId="0" borderId="0" xfId="0" applyAlignment="1">
      <alignment horizontal="center"/>
    </xf>
    <xf numFmtId="0" fontId="0" fillId="0" borderId="48" xfId="0" applyBorder="1" applyAlignment="1">
      <alignment horizontal="right"/>
    </xf>
    <xf numFmtId="0" fontId="75" fillId="0" borderId="0" xfId="0" applyFont="1" applyBorder="1"/>
    <xf numFmtId="0" fontId="75" fillId="0" borderId="49" xfId="0" applyFont="1" applyBorder="1"/>
    <xf numFmtId="0" fontId="75" fillId="0" borderId="0" xfId="0" applyFont="1" applyAlignment="1">
      <alignment horizontal="center"/>
    </xf>
    <xf numFmtId="0" fontId="75" fillId="0" borderId="0" xfId="0" applyFont="1" applyFill="1" applyBorder="1" applyAlignment="1">
      <alignment horizontal="right"/>
    </xf>
    <xf numFmtId="0" fontId="75" fillId="0" borderId="0" xfId="0" applyFont="1" applyFill="1" applyBorder="1" applyAlignment="1">
      <alignment horizontal="center"/>
    </xf>
    <xf numFmtId="169" fontId="68" fillId="19" borderId="48" xfId="0" applyNumberFormat="1" applyFont="1" applyFill="1" applyBorder="1" applyAlignment="1"/>
    <xf numFmtId="0" fontId="68" fillId="19" borderId="0" xfId="0" applyFont="1" applyFill="1" applyBorder="1" applyAlignment="1">
      <alignment horizontal="center"/>
    </xf>
    <xf numFmtId="0" fontId="68" fillId="19" borderId="49" xfId="0" applyFont="1" applyFill="1" applyBorder="1" applyAlignment="1">
      <alignment horizontal="left"/>
    </xf>
    <xf numFmtId="0" fontId="68" fillId="19" borderId="0" xfId="0" applyFont="1" applyFill="1" applyAlignment="1">
      <alignment horizontal="center"/>
    </xf>
    <xf numFmtId="0" fontId="68" fillId="19" borderId="48" xfId="0" applyFont="1" applyFill="1" applyBorder="1"/>
    <xf numFmtId="0" fontId="68" fillId="19" borderId="49" xfId="0" applyFont="1" applyFill="1" applyBorder="1"/>
    <xf numFmtId="0" fontId="47" fillId="0" borderId="0" xfId="0" applyFont="1"/>
    <xf numFmtId="0" fontId="0" fillId="0" borderId="0" xfId="0" applyFont="1" applyFill="1"/>
    <xf numFmtId="0" fontId="0" fillId="0" borderId="0" xfId="0" applyFont="1" applyFill="1" applyAlignment="1">
      <alignment horizontal="center"/>
    </xf>
    <xf numFmtId="0" fontId="0" fillId="0" borderId="48" xfId="0" applyFont="1" applyFill="1" applyBorder="1"/>
    <xf numFmtId="0" fontId="0" fillId="0" borderId="49" xfId="0" applyFont="1" applyFill="1" applyBorder="1"/>
    <xf numFmtId="0" fontId="75" fillId="0" borderId="0" xfId="0" applyFont="1" applyFill="1" applyBorder="1" applyAlignment="1">
      <alignment horizontal="left"/>
    </xf>
    <xf numFmtId="169" fontId="0" fillId="0" borderId="48" xfId="0" applyNumberFormat="1" applyFont="1" applyFill="1" applyBorder="1" applyAlignment="1"/>
    <xf numFmtId="0" fontId="0" fillId="0" borderId="0" xfId="0" applyFont="1" applyFill="1" applyBorder="1" applyAlignment="1">
      <alignment horizontal="center"/>
    </xf>
    <xf numFmtId="0" fontId="0" fillId="0" borderId="49" xfId="0" applyFont="1" applyFill="1" applyBorder="1" applyAlignment="1">
      <alignment horizontal="left"/>
    </xf>
    <xf numFmtId="0" fontId="75" fillId="0" borderId="0" xfId="0" applyFont="1" applyBorder="1" applyAlignment="1">
      <alignment horizontal="center"/>
    </xf>
    <xf numFmtId="0" fontId="82" fillId="14" borderId="0" xfId="0" quotePrefix="1" applyFont="1" applyFill="1" applyAlignment="1">
      <alignment horizontal="center" wrapText="1"/>
    </xf>
    <xf numFmtId="0" fontId="61" fillId="4" borderId="69" xfId="0" quotePrefix="1" applyFont="1" applyFill="1" applyBorder="1" applyAlignment="1">
      <alignment horizontal="center"/>
    </xf>
    <xf numFmtId="213" fontId="67" fillId="4" borderId="48" xfId="0" quotePrefix="1" applyNumberFormat="1" applyFont="1" applyFill="1" applyBorder="1" applyAlignment="1">
      <alignment horizontal="center"/>
    </xf>
    <xf numFmtId="213" fontId="67" fillId="4" borderId="49" xfId="0" quotePrefix="1" applyNumberFormat="1" applyFont="1" applyFill="1" applyBorder="1" applyAlignment="1">
      <alignment horizontal="center"/>
    </xf>
    <xf numFmtId="0" fontId="67" fillId="4" borderId="48" xfId="0" quotePrefix="1" applyFont="1" applyFill="1" applyBorder="1" applyAlignment="1">
      <alignment horizontal="center"/>
    </xf>
    <xf numFmtId="0" fontId="67" fillId="4" borderId="49" xfId="0" quotePrefix="1" applyFont="1" applyFill="1" applyBorder="1" applyAlignment="1">
      <alignment horizontal="center"/>
    </xf>
    <xf numFmtId="0" fontId="62" fillId="4" borderId="0" xfId="0" quotePrefix="1" applyFont="1" applyFill="1" applyAlignment="1">
      <alignment horizontal="right"/>
    </xf>
    <xf numFmtId="202" fontId="83" fillId="14" borderId="49" xfId="0" quotePrefix="1" applyNumberFormat="1" applyFont="1" applyFill="1" applyBorder="1" applyAlignment="1">
      <alignment horizontal="left"/>
    </xf>
    <xf numFmtId="0" fontId="83" fillId="14" borderId="0" xfId="0" quotePrefix="1" applyFont="1" applyFill="1" applyAlignment="1">
      <alignment horizontal="left"/>
    </xf>
    <xf numFmtId="0" fontId="82" fillId="14" borderId="0" xfId="0" quotePrefix="1" applyFont="1" applyFill="1" applyAlignment="1">
      <alignment horizontal="left"/>
    </xf>
    <xf numFmtId="0" fontId="25" fillId="0" borderId="0" xfId="0" applyFont="1" applyAlignment="1">
      <alignment vertical="center"/>
    </xf>
    <xf numFmtId="0" fontId="26" fillId="0" borderId="48" xfId="0" applyFont="1" applyFill="1" applyBorder="1" applyAlignment="1">
      <alignment horizontal="right" vertical="top"/>
    </xf>
    <xf numFmtId="0" fontId="0" fillId="0" borderId="49" xfId="0" applyFont="1" applyFill="1" applyBorder="1" applyAlignment="1">
      <alignment horizontal="right" vertical="top"/>
    </xf>
    <xf numFmtId="0" fontId="61" fillId="0" borderId="0" xfId="0" applyFont="1" applyAlignment="1"/>
    <xf numFmtId="0" fontId="25" fillId="0" borderId="0" xfId="0" applyFont="1" applyAlignment="1"/>
    <xf numFmtId="0" fontId="0" fillId="0" borderId="48" xfId="0" applyNumberFormat="1" applyFont="1" applyBorder="1" applyAlignment="1"/>
    <xf numFmtId="0" fontId="47" fillId="0" borderId="28" xfId="0" applyNumberFormat="1" applyFont="1" applyBorder="1" applyAlignment="1">
      <alignment horizontal="left"/>
    </xf>
    <xf numFmtId="0" fontId="12" fillId="0" borderId="49" xfId="0" applyFont="1" applyBorder="1" applyAlignment="1">
      <alignment horizontal="left"/>
    </xf>
    <xf numFmtId="170" fontId="0" fillId="0" borderId="48" xfId="0" applyNumberFormat="1" applyFont="1" applyBorder="1" applyAlignment="1"/>
    <xf numFmtId="182" fontId="0" fillId="0" borderId="0" xfId="0" applyNumberFormat="1" applyFont="1" applyBorder="1" applyAlignment="1">
      <alignment horizontal="left"/>
    </xf>
    <xf numFmtId="0" fontId="12" fillId="0" borderId="0" xfId="0" applyFont="1" applyBorder="1" applyAlignment="1">
      <alignment horizontal="left"/>
    </xf>
    <xf numFmtId="0" fontId="0" fillId="0" borderId="0" xfId="0" quotePrefix="1" applyFont="1" applyAlignment="1">
      <alignment horizontal="right"/>
    </xf>
    <xf numFmtId="211" fontId="10" fillId="25" borderId="0" xfId="0" applyNumberFormat="1" applyFont="1" applyFill="1" applyAlignment="1"/>
    <xf numFmtId="0" fontId="61" fillId="24" borderId="0" xfId="0" quotePrefix="1" applyFont="1" applyFill="1" applyAlignment="1">
      <alignment horizontal="left"/>
    </xf>
    <xf numFmtId="0" fontId="61" fillId="24" borderId="45" xfId="0" quotePrefix="1" applyFont="1" applyFill="1" applyBorder="1" applyAlignment="1">
      <alignment horizontal="left"/>
    </xf>
    <xf numFmtId="0" fontId="61" fillId="24" borderId="45" xfId="0" quotePrefix="1" applyFont="1" applyFill="1" applyBorder="1" applyAlignment="1">
      <alignment horizontal="right"/>
    </xf>
    <xf numFmtId="0" fontId="61" fillId="24" borderId="47" xfId="0" quotePrefix="1" applyFont="1" applyFill="1" applyBorder="1" applyAlignment="1">
      <alignment horizontal="left"/>
    </xf>
    <xf numFmtId="0" fontId="10" fillId="25" borderId="0" xfId="0" applyFont="1" applyFill="1" applyBorder="1" applyAlignment="1"/>
    <xf numFmtId="0" fontId="10" fillId="25" borderId="0" xfId="0" applyFont="1" applyFill="1" applyAlignment="1"/>
    <xf numFmtId="0" fontId="61" fillId="24" borderId="50" xfId="0" quotePrefix="1" applyFont="1" applyFill="1" applyBorder="1" applyAlignment="1">
      <alignment horizontal="left"/>
    </xf>
    <xf numFmtId="0" fontId="61" fillId="24" borderId="50" xfId="0" quotePrefix="1" applyFont="1" applyFill="1" applyBorder="1" applyAlignment="1">
      <alignment horizontal="right"/>
    </xf>
    <xf numFmtId="0" fontId="66" fillId="24" borderId="52" xfId="0" quotePrefix="1" applyFont="1" applyFill="1" applyBorder="1" applyAlignment="1">
      <alignment horizontal="left"/>
    </xf>
    <xf numFmtId="0" fontId="0" fillId="0" borderId="32" xfId="0" applyNumberFormat="1" applyBorder="1"/>
    <xf numFmtId="0" fontId="0" fillId="0" borderId="33" xfId="0" applyNumberFormat="1" applyFont="1" applyBorder="1" applyAlignment="1">
      <alignment vertical="top"/>
    </xf>
    <xf numFmtId="0" fontId="0" fillId="0" borderId="34" xfId="0" applyNumberFormat="1" applyFont="1" applyBorder="1" applyAlignment="1">
      <alignment vertical="top"/>
    </xf>
    <xf numFmtId="214" fontId="61" fillId="4" borderId="49" xfId="0" quotePrefix="1" applyNumberFormat="1" applyFont="1" applyFill="1" applyBorder="1" applyAlignment="1">
      <alignment horizontal="left"/>
    </xf>
    <xf numFmtId="0" fontId="61" fillId="24" borderId="49" xfId="0" quotePrefix="1" applyFont="1" applyFill="1" applyBorder="1" applyAlignment="1">
      <alignment horizontal="left"/>
    </xf>
    <xf numFmtId="0" fontId="6" fillId="31" borderId="0" xfId="0" applyFont="1" applyFill="1" applyAlignment="1">
      <alignment horizontal="justify" vertical="center"/>
    </xf>
    <xf numFmtId="0" fontId="25" fillId="31" borderId="0" xfId="0" applyFont="1" applyFill="1" applyAlignment="1">
      <alignment horizontal="justify" vertical="center"/>
    </xf>
    <xf numFmtId="0" fontId="60" fillId="0" borderId="0" xfId="0" applyFont="1" applyAlignment="1">
      <alignment horizontal="right" vertical="top"/>
    </xf>
  </cellXfs>
  <cellStyles count="4">
    <cellStyle name="muted" xfId="3"/>
    <cellStyle name="Normal" xfId="0" builtinId="0"/>
    <cellStyle name="Normal_Hanli as spreadsheet.xls" xfId="1"/>
    <cellStyle name="Silent" xfId="2"/>
  </cellStyles>
  <dxfs count="226">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tint="0.59996337778862885"/>
        </patternFill>
      </fill>
    </dxf>
    <dxf>
      <fill>
        <patternFill>
          <bgColor theme="6" tint="0.59996337778862885"/>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00"/>
      <rgbColor rgb="00800080"/>
      <rgbColor rgb="00008080"/>
      <rgbColor rgb="00C0C0C0"/>
      <rgbColor rgb="00808080"/>
      <rgbColor rgb="009999FF"/>
      <rgbColor rgb="00FF3333"/>
      <rgbColor rgb="00FFFFCC"/>
      <rgbColor rgb="00E6E6FF"/>
      <rgbColor rgb="00660066"/>
      <rgbColor rgb="00FF8080"/>
      <rgbColor rgb="000066CC"/>
      <rgbColor rgb="00CCCCCC"/>
      <rgbColor rgb="00000080"/>
      <rgbColor rgb="00FF00FF"/>
      <rgbColor rgb="00E6E64C"/>
      <rgbColor rgb="0000FFFF"/>
      <rgbColor rgb="00800080"/>
      <rgbColor rgb="00C90016"/>
      <rgbColor rgb="00008080"/>
      <rgbColor rgb="000000FF"/>
      <rgbColor rgb="0000CCFF"/>
      <rgbColor rgb="00E6E6E6"/>
      <rgbColor rgb="00CCFFCC"/>
      <rgbColor rgb="00FFFF99"/>
      <rgbColor rgb="00B3B3B3"/>
      <rgbColor rgb="00FF99CC"/>
      <rgbColor rgb="00CC99FF"/>
      <rgbColor rgb="00FFCC99"/>
      <rgbColor rgb="003366FF"/>
      <rgbColor rgb="0033CCCC"/>
      <rgbColor rgb="00B3B300"/>
      <rgbColor rgb="00CCCC00"/>
      <rgbColor rgb="00FF950E"/>
      <rgbColor rgb="00FF6309"/>
      <rgbColor rgb="00666666"/>
      <rgbColor rgb="00999999"/>
      <rgbColor rgb="00004586"/>
      <rgbColor rgb="00339966"/>
      <rgbColor rgb="00003300"/>
      <rgbColor rgb="00333300"/>
      <rgbColor rgb="00993300"/>
      <rgbColor rgb="00993366"/>
      <rgbColor rgb="002323DC"/>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P1702"/>
  <sheetViews>
    <sheetView showGridLines="0" tabSelected="1" topLeftCell="A23" zoomScale="130" zoomScaleNormal="130" workbookViewId="0">
      <selection activeCell="K35" sqref="K35"/>
    </sheetView>
  </sheetViews>
  <sheetFormatPr defaultColWidth="12.77734375" defaultRowHeight="13.2"/>
  <cols>
    <col min="1" max="1" width="7.33203125" customWidth="1"/>
    <col min="2" max="3" width="12.109375" customWidth="1"/>
    <col min="4" max="4" width="12.44140625" customWidth="1"/>
    <col min="5" max="5" width="14.109375" customWidth="1"/>
    <col min="6" max="6" width="11.109375" customWidth="1"/>
    <col min="7" max="7" width="9.6640625" customWidth="1"/>
    <col min="8" max="8" width="10.6640625" customWidth="1"/>
    <col min="13" max="13" width="13.44140625" customWidth="1"/>
    <col min="14" max="14" width="12.109375" customWidth="1"/>
    <col min="15" max="15" width="13.77734375" customWidth="1"/>
    <col min="16" max="16" width="9.44140625" customWidth="1"/>
    <col min="17" max="17" width="12.109375" customWidth="1"/>
    <col min="18" max="18" width="9.44140625" customWidth="1"/>
    <col min="21" max="21" width="9.33203125" customWidth="1"/>
    <col min="22" max="22" width="10.109375" customWidth="1"/>
    <col min="23" max="23" width="6.44140625" customWidth="1"/>
    <col min="24" max="24" width="5.77734375" customWidth="1"/>
    <col min="25" max="25" width="8.33203125" customWidth="1"/>
  </cols>
  <sheetData>
    <row r="2" spans="1:9" ht="17.399999999999999">
      <c r="B2" s="1" t="s">
        <v>0</v>
      </c>
    </row>
    <row r="3" spans="1:9" ht="17.399999999999999">
      <c r="B3" s="1" t="s">
        <v>1</v>
      </c>
    </row>
    <row r="4" spans="1:9" ht="17.399999999999999">
      <c r="B4" s="1" t="s">
        <v>2</v>
      </c>
    </row>
    <row r="6" spans="1:9" s="3" customFormat="1" ht="25.2">
      <c r="A6" s="2" t="s">
        <v>3</v>
      </c>
      <c r="B6" s="3" t="s">
        <v>444</v>
      </c>
    </row>
    <row r="7" spans="1:9" ht="13.8" thickTop="1"/>
    <row r="8" spans="1:9" ht="26.25" customHeight="1">
      <c r="A8" s="988" t="s">
        <v>443</v>
      </c>
      <c r="B8" s="908" t="s">
        <v>433</v>
      </c>
      <c r="C8" s="908"/>
      <c r="D8" s="908"/>
      <c r="E8" s="908"/>
      <c r="F8" s="908"/>
      <c r="G8" s="908"/>
      <c r="H8" s="908"/>
    </row>
    <row r="10" spans="1:9" ht="26.25" customHeight="1">
      <c r="B10" s="904" t="s">
        <v>434</v>
      </c>
      <c r="C10" s="904"/>
      <c r="D10" s="904"/>
      <c r="E10" s="904"/>
      <c r="F10" s="904"/>
      <c r="G10" s="904"/>
      <c r="H10" s="904"/>
      <c r="I10" s="904"/>
    </row>
    <row r="11" spans="1:9" ht="13.8">
      <c r="B11" s="5"/>
      <c r="C11" s="8"/>
      <c r="D11" s="6"/>
      <c r="E11" s="6"/>
      <c r="F11" s="7"/>
      <c r="G11" s="5"/>
      <c r="H11" s="5"/>
      <c r="I11" s="5"/>
    </row>
    <row r="12" spans="1:9" ht="93" customHeight="1">
      <c r="B12" s="904" t="s">
        <v>570</v>
      </c>
      <c r="C12" s="904"/>
      <c r="D12" s="904"/>
      <c r="E12" s="904"/>
      <c r="F12" s="904"/>
      <c r="G12" s="904"/>
      <c r="H12" s="904"/>
      <c r="I12" s="904"/>
    </row>
    <row r="13" spans="1:9" ht="13.8">
      <c r="B13" s="5"/>
      <c r="C13" s="8"/>
      <c r="D13" s="6"/>
      <c r="E13" s="6"/>
      <c r="F13" s="7"/>
      <c r="G13" s="5"/>
      <c r="H13" s="5"/>
      <c r="I13" s="5"/>
    </row>
    <row r="14" spans="1:9" ht="13.8">
      <c r="B14" s="5"/>
      <c r="C14" s="384" t="s">
        <v>435</v>
      </c>
      <c r="D14" s="389">
        <v>-204</v>
      </c>
      <c r="E14" s="386" t="s">
        <v>572</v>
      </c>
      <c r="F14" s="7"/>
      <c r="G14" s="5"/>
      <c r="H14" s="5"/>
      <c r="I14" s="5"/>
    </row>
    <row r="15" spans="1:9" ht="13.8">
      <c r="B15" s="5"/>
      <c r="C15" s="20"/>
      <c r="D15" s="275"/>
      <c r="E15" s="8"/>
      <c r="F15" s="7"/>
      <c r="G15" s="5"/>
      <c r="H15" s="5"/>
      <c r="I15" s="5"/>
    </row>
    <row r="16" spans="1:9" ht="95.4" customHeight="1">
      <c r="B16" s="904" t="s">
        <v>571</v>
      </c>
      <c r="C16" s="904"/>
      <c r="D16" s="904"/>
      <c r="E16" s="904"/>
      <c r="F16" s="904"/>
      <c r="G16" s="904"/>
      <c r="H16" s="904"/>
      <c r="I16" s="904"/>
    </row>
    <row r="17" spans="2:10" ht="13.8">
      <c r="B17" s="5"/>
      <c r="C17" s="8"/>
      <c r="D17" s="6"/>
      <c r="E17" s="6"/>
      <c r="F17" s="7"/>
      <c r="G17" s="5"/>
      <c r="H17" s="5"/>
      <c r="I17" s="5"/>
    </row>
    <row r="18" spans="2:10" ht="12.75" customHeight="1">
      <c r="B18" s="5"/>
      <c r="C18" s="387" t="s">
        <v>4</v>
      </c>
      <c r="D18" s="388">
        <f>D14+44</f>
        <v>-160</v>
      </c>
      <c r="E18" s="386" t="s">
        <v>568</v>
      </c>
      <c r="F18" s="7"/>
      <c r="G18" s="5"/>
      <c r="H18" s="5"/>
      <c r="I18" s="5"/>
    </row>
    <row r="19" spans="2:10" ht="12.75" customHeight="1">
      <c r="B19" s="5"/>
      <c r="C19" s="277"/>
      <c r="D19" s="276"/>
      <c r="E19" s="8"/>
      <c r="F19" s="7"/>
      <c r="G19" s="5"/>
      <c r="H19" s="5"/>
      <c r="I19" s="5"/>
    </row>
    <row r="20" spans="2:10" ht="13.8">
      <c r="B20" s="12"/>
      <c r="C20" s="13"/>
      <c r="D20" s="14"/>
      <c r="E20" s="14"/>
      <c r="F20" s="13"/>
      <c r="G20" s="12"/>
      <c r="H20" s="12"/>
      <c r="I20" s="12"/>
    </row>
    <row r="21" spans="2:10" ht="13.8">
      <c r="B21" s="909" t="s">
        <v>5</v>
      </c>
      <c r="C21" s="909"/>
      <c r="D21" s="909"/>
      <c r="E21" s="909"/>
      <c r="F21" s="909"/>
      <c r="G21" s="909"/>
      <c r="H21" s="909"/>
      <c r="I21" s="12"/>
      <c r="J21" s="15"/>
    </row>
    <row r="22" spans="2:10" ht="13.8">
      <c r="B22" s="12"/>
      <c r="C22" s="13"/>
      <c r="D22" s="14"/>
      <c r="E22" s="14"/>
      <c r="F22" s="13"/>
      <c r="G22" s="12"/>
      <c r="H22" s="12"/>
      <c r="I22" s="12"/>
    </row>
    <row r="23" spans="2:10" ht="28.95" customHeight="1">
      <c r="B23" s="904" t="s">
        <v>574</v>
      </c>
      <c r="C23" s="904"/>
      <c r="D23" s="904"/>
      <c r="E23" s="904"/>
      <c r="F23" s="904"/>
      <c r="G23" s="904"/>
      <c r="H23" s="904"/>
      <c r="I23" s="904"/>
    </row>
    <row r="24" spans="2:10" ht="15.6">
      <c r="B24" s="16"/>
      <c r="C24" s="17"/>
      <c r="D24" s="5"/>
      <c r="E24" s="5"/>
      <c r="F24" s="5"/>
      <c r="G24" s="16"/>
      <c r="H24" s="5"/>
      <c r="I24" s="5"/>
    </row>
    <row r="25" spans="2:10" ht="15.6">
      <c r="B25" s="385"/>
      <c r="C25" s="384" t="s">
        <v>436</v>
      </c>
      <c r="D25" s="386">
        <f>Epochal.year-2*元法</f>
        <v>-9280</v>
      </c>
      <c r="E25" s="386" t="s">
        <v>573</v>
      </c>
      <c r="F25" s="5"/>
      <c r="G25" s="16"/>
      <c r="H25" s="5"/>
      <c r="I25" s="5"/>
    </row>
    <row r="26" spans="2:10" ht="15.6">
      <c r="B26" s="16"/>
      <c r="C26" s="20"/>
      <c r="D26" s="18"/>
      <c r="E26" s="8"/>
      <c r="F26" s="5"/>
      <c r="G26" s="16"/>
      <c r="H26" s="5"/>
      <c r="I26" s="5"/>
    </row>
    <row r="27" spans="2:10" ht="148.19999999999999" customHeight="1">
      <c r="B27" s="904" t="s">
        <v>754</v>
      </c>
      <c r="C27" s="904"/>
      <c r="D27" s="904"/>
      <c r="E27" s="904"/>
      <c r="F27" s="904"/>
      <c r="G27" s="904"/>
      <c r="H27" s="904"/>
      <c r="I27" s="904"/>
    </row>
    <row r="28" spans="2:10" ht="16.2" thickBot="1">
      <c r="B28" s="16"/>
      <c r="C28" s="8"/>
      <c r="D28" s="9"/>
      <c r="E28" s="5"/>
      <c r="F28" s="19"/>
      <c r="G28" s="16"/>
      <c r="H28" s="5"/>
      <c r="I28" s="5"/>
    </row>
    <row r="29" spans="2:10" s="453" customFormat="1" ht="16.2" thickBot="1">
      <c r="B29" s="394"/>
      <c r="C29" s="395" t="s">
        <v>575</v>
      </c>
      <c r="D29" s="396">
        <v>132</v>
      </c>
      <c r="E29" s="395"/>
      <c r="F29" s="395"/>
      <c r="G29" s="619"/>
      <c r="H29" s="619"/>
      <c r="I29" s="619"/>
    </row>
    <row r="30" spans="2:10" s="453" customFormat="1" ht="15.6">
      <c r="B30" s="394"/>
      <c r="C30" s="395" t="s">
        <v>576</v>
      </c>
      <c r="D30" s="395">
        <f>ABS(D29)+IF(D29&lt;1,1)</f>
        <v>132</v>
      </c>
      <c r="E30" s="385" t="str">
        <f>IF(D29&lt;1,"BCE","CE")</f>
        <v>CE</v>
      </c>
      <c r="F30" s="395"/>
      <c r="G30" s="385"/>
      <c r="H30" s="619"/>
      <c r="I30" s="619"/>
    </row>
    <row r="31" spans="2:10" s="453" customFormat="1" ht="15.6">
      <c r="B31" s="394"/>
      <c r="C31" s="395" t="s">
        <v>576</v>
      </c>
      <c r="D31" s="395" t="str">
        <f>CONCATENATE(CHOOSE(MOD(E31,10)+1,"癸","甲","乙","丙","丁","戊","己","庚","辛","壬"),(CHOOSE(MOD(E31,12)+1,"亥","子","丑","寅","卯","辰","巳","午","未","申","酉","戌")))</f>
        <v>壬申</v>
      </c>
      <c r="E31" s="618">
        <f>MOD(D29-3,60)</f>
        <v>9</v>
      </c>
      <c r="F31" s="395"/>
      <c r="G31" s="385"/>
      <c r="H31" s="619"/>
      <c r="I31" s="619"/>
    </row>
    <row r="32" spans="2:10" ht="15.6">
      <c r="B32" s="390"/>
      <c r="C32" s="392"/>
      <c r="D32" s="393"/>
      <c r="E32" s="383"/>
      <c r="F32" s="391"/>
      <c r="G32" s="16"/>
      <c r="H32" s="5"/>
      <c r="I32" s="5"/>
    </row>
    <row r="33" spans="1:12" ht="15.6">
      <c r="B33" s="394"/>
      <c r="C33" s="395" t="s">
        <v>577</v>
      </c>
      <c r="D33" s="398">
        <f>current.year-High.origin.year</f>
        <v>9412</v>
      </c>
      <c r="E33" s="397"/>
      <c r="F33" s="383"/>
      <c r="G33" s="16"/>
      <c r="H33" s="21"/>
      <c r="I33" s="5"/>
    </row>
    <row r="34" spans="1:12" ht="15.6">
      <c r="B34" s="16"/>
      <c r="C34" s="20"/>
      <c r="D34" s="18"/>
      <c r="E34" s="5"/>
      <c r="F34" s="5"/>
      <c r="G34" s="16"/>
      <c r="H34" s="21"/>
      <c r="I34" s="5"/>
    </row>
    <row r="35" spans="1:12" ht="13.8" thickBot="1"/>
    <row r="36" spans="1:12" s="3" customFormat="1" ht="26.4" thickTop="1" thickBot="1">
      <c r="A36" s="2" t="s">
        <v>6</v>
      </c>
      <c r="B36" s="3" t="s">
        <v>7</v>
      </c>
    </row>
    <row r="37" spans="1:12" s="23" customFormat="1" ht="13.5" customHeight="1" thickTop="1">
      <c r="A37" s="22"/>
      <c r="B37"/>
      <c r="C37"/>
    </row>
    <row r="38" spans="1:12" s="26" customFormat="1" ht="39" customHeight="1">
      <c r="A38" s="761">
        <v>15</v>
      </c>
      <c r="B38" s="907" t="s">
        <v>947</v>
      </c>
      <c r="C38" s="907"/>
      <c r="D38" s="907"/>
      <c r="E38" s="907"/>
      <c r="F38" s="907"/>
      <c r="G38" s="907"/>
      <c r="H38" s="907"/>
      <c r="I38" s="907"/>
      <c r="L38"/>
    </row>
    <row r="39" spans="1:12" s="26" customFormat="1" ht="38.4" customHeight="1">
      <c r="A39" s="761">
        <f>A38+1</f>
        <v>16</v>
      </c>
      <c r="B39" s="907" t="s">
        <v>948</v>
      </c>
      <c r="C39" s="907"/>
      <c r="D39" s="907"/>
      <c r="E39" s="907"/>
      <c r="F39" s="907"/>
      <c r="G39" s="907"/>
      <c r="H39" s="907"/>
      <c r="I39" s="907"/>
      <c r="L39"/>
    </row>
    <row r="40" spans="1:12" s="26" customFormat="1" ht="38.4" customHeight="1">
      <c r="A40" s="761">
        <f>A39+1</f>
        <v>17</v>
      </c>
      <c r="B40" s="907" t="s">
        <v>949</v>
      </c>
      <c r="C40" s="907"/>
      <c r="D40" s="907"/>
      <c r="E40" s="907"/>
      <c r="F40" s="907"/>
      <c r="G40" s="907"/>
      <c r="H40" s="907"/>
      <c r="I40" s="907"/>
      <c r="L40"/>
    </row>
    <row r="41" spans="1:12" s="26" customFormat="1" ht="25.95" customHeight="1">
      <c r="A41" s="761">
        <f>A40+1</f>
        <v>18</v>
      </c>
      <c r="B41" s="907" t="s">
        <v>950</v>
      </c>
      <c r="C41" s="907"/>
      <c r="D41" s="907"/>
      <c r="E41" s="907"/>
      <c r="F41" s="907"/>
      <c r="G41" s="907"/>
      <c r="H41" s="907"/>
      <c r="I41" s="907"/>
      <c r="L41"/>
    </row>
    <row r="42" spans="1:12" s="26" customFormat="1" ht="15.75" customHeight="1">
      <c r="A42" s="278"/>
      <c r="B42" s="279"/>
      <c r="C42" s="279"/>
      <c r="D42" s="279"/>
      <c r="E42" s="279"/>
      <c r="F42" s="279"/>
      <c r="G42" s="279"/>
      <c r="H42" s="279"/>
      <c r="I42" s="25"/>
      <c r="L42"/>
    </row>
    <row r="43" spans="1:12" s="26" customFormat="1" ht="13.5" customHeight="1">
      <c r="A43" s="24"/>
      <c r="B43" s="904" t="s">
        <v>445</v>
      </c>
      <c r="C43" s="904" t="s">
        <v>8</v>
      </c>
      <c r="D43" s="904"/>
      <c r="E43" s="904"/>
      <c r="F43" s="904"/>
      <c r="G43" s="904"/>
      <c r="H43" s="904"/>
      <c r="I43" s="904"/>
    </row>
    <row r="44" spans="1:12" s="26" customFormat="1" ht="57.75" customHeight="1">
      <c r="A44" s="24"/>
      <c r="B44" s="296" t="s">
        <v>446</v>
      </c>
      <c r="C44" s="904" t="s">
        <v>458</v>
      </c>
      <c r="D44" s="904"/>
      <c r="E44" s="904"/>
      <c r="F44" s="904"/>
      <c r="G44" s="904"/>
      <c r="H44" s="904"/>
      <c r="I44" s="904"/>
    </row>
    <row r="45" spans="1:12" s="26" customFormat="1" ht="52.5" customHeight="1">
      <c r="A45" s="24"/>
      <c r="B45" s="296" t="s">
        <v>447</v>
      </c>
      <c r="C45" s="904" t="s">
        <v>448</v>
      </c>
      <c r="D45" s="904"/>
      <c r="E45" s="904"/>
      <c r="F45" s="904"/>
      <c r="G45" s="904"/>
      <c r="H45" s="904"/>
      <c r="I45" s="904"/>
    </row>
    <row r="46" spans="1:12" s="26" customFormat="1" ht="14.25" customHeight="1">
      <c r="A46" s="24"/>
      <c r="B46" s="296"/>
      <c r="C46" s="274"/>
      <c r="D46" s="274"/>
      <c r="E46" s="274"/>
      <c r="F46" s="274"/>
      <c r="G46" s="274"/>
      <c r="H46" s="274"/>
      <c r="I46" s="274"/>
    </row>
    <row r="47" spans="1:12" s="26" customFormat="1" ht="15" customHeight="1">
      <c r="A47" s="24"/>
      <c r="B47" s="296"/>
      <c r="C47" s="274"/>
      <c r="D47" s="20" t="s">
        <v>449</v>
      </c>
      <c r="E47" s="284">
        <f>周天/日法</f>
        <v>365.25</v>
      </c>
      <c r="F47" s="274" t="s">
        <v>451</v>
      </c>
      <c r="G47" s="274"/>
      <c r="H47" s="274"/>
      <c r="I47" s="274"/>
    </row>
    <row r="48" spans="1:12" s="26" customFormat="1" ht="13.5" customHeight="1">
      <c r="A48" s="24"/>
      <c r="B48" s="296"/>
      <c r="C48" s="274"/>
      <c r="D48" s="20" t="s">
        <v>450</v>
      </c>
      <c r="E48" s="285">
        <f>蔀日/蔀月</f>
        <v>29.530851063829786</v>
      </c>
      <c r="F48" s="274" t="s">
        <v>452</v>
      </c>
      <c r="G48" s="274"/>
      <c r="H48" s="274"/>
      <c r="I48" s="274"/>
    </row>
    <row r="49" spans="1:9" s="26" customFormat="1" ht="13.5" customHeight="1">
      <c r="A49" s="24"/>
      <c r="B49" s="296"/>
      <c r="C49" s="274"/>
      <c r="D49" s="274"/>
      <c r="E49" s="274"/>
      <c r="F49" s="274"/>
      <c r="G49" s="274"/>
      <c r="H49" s="274"/>
      <c r="I49" s="274"/>
    </row>
    <row r="50" spans="1:9" s="26" customFormat="1" ht="52.5" customHeight="1">
      <c r="A50" s="24"/>
      <c r="B50" s="296" t="s">
        <v>453</v>
      </c>
      <c r="C50" s="904" t="s">
        <v>454</v>
      </c>
      <c r="D50" s="904"/>
      <c r="E50" s="904"/>
      <c r="F50" s="904"/>
      <c r="G50" s="904"/>
      <c r="H50" s="904"/>
      <c r="I50" s="904"/>
    </row>
    <row r="51" spans="1:9" s="26" customFormat="1" ht="13.5" customHeight="1">
      <c r="A51" s="24"/>
      <c r="B51" s="296"/>
      <c r="C51" s="274"/>
      <c r="D51" s="274"/>
      <c r="E51" s="274"/>
      <c r="F51" s="274"/>
      <c r="G51" s="274"/>
      <c r="H51" s="274"/>
      <c r="I51" s="274"/>
    </row>
    <row r="52" spans="1:9" s="26" customFormat="1" ht="14.25" customHeight="1">
      <c r="A52" s="24"/>
      <c r="B52" s="296"/>
      <c r="C52" s="274"/>
      <c r="D52" s="20" t="s">
        <v>455</v>
      </c>
      <c r="E52" s="283">
        <v>1</v>
      </c>
      <c r="F52" s="274"/>
      <c r="G52" s="274"/>
      <c r="H52" s="274"/>
      <c r="I52" s="274"/>
    </row>
    <row r="53" spans="1:9" s="26" customFormat="1" ht="14.25" customHeight="1">
      <c r="A53" s="24"/>
      <c r="B53" s="296"/>
      <c r="C53" s="274"/>
      <c r="D53" s="20" t="s">
        <v>456</v>
      </c>
      <c r="E53" s="286">
        <f>mean_solar_year*velocity_of_the_sun</f>
        <v>365.25</v>
      </c>
      <c r="F53" s="274" t="s">
        <v>451</v>
      </c>
      <c r="G53" s="274"/>
      <c r="H53" s="274"/>
      <c r="I53" s="274"/>
    </row>
    <row r="54" spans="1:9" s="26" customFormat="1" ht="12.75" customHeight="1">
      <c r="A54" s="24"/>
      <c r="B54" s="296"/>
      <c r="C54" s="274"/>
      <c r="D54" s="274"/>
      <c r="E54" s="274"/>
      <c r="F54" s="274"/>
      <c r="G54" s="274"/>
      <c r="H54" s="274"/>
      <c r="I54" s="274"/>
    </row>
    <row r="55" spans="1:9" s="26" customFormat="1" ht="41.25" customHeight="1">
      <c r="A55" s="24"/>
      <c r="B55" s="296" t="s">
        <v>457</v>
      </c>
      <c r="C55" s="904" t="s">
        <v>460</v>
      </c>
      <c r="D55" s="904"/>
      <c r="E55" s="904"/>
      <c r="F55" s="904"/>
      <c r="G55" s="904"/>
      <c r="H55" s="904"/>
      <c r="I55" s="904"/>
    </row>
    <row r="56" spans="1:9" s="26" customFormat="1" ht="14.25" customHeight="1">
      <c r="A56" s="24"/>
      <c r="B56" s="296"/>
      <c r="C56" s="274"/>
      <c r="D56" s="274"/>
      <c r="E56" s="274"/>
      <c r="F56" s="274"/>
      <c r="G56" s="274"/>
      <c r="H56" s="274"/>
      <c r="I56" s="274"/>
    </row>
    <row r="57" spans="1:9" s="26" customFormat="1" ht="15" customHeight="1">
      <c r="A57" s="24"/>
      <c r="B57" s="296"/>
      <c r="C57" s="274"/>
      <c r="D57" s="20" t="s">
        <v>459</v>
      </c>
      <c r="E57" s="285">
        <f>mean_solar_year/12</f>
        <v>30.4375</v>
      </c>
      <c r="F57" s="287"/>
      <c r="G57" s="274"/>
      <c r="H57" s="274"/>
      <c r="I57" s="274"/>
    </row>
    <row r="58" spans="1:9" s="26" customFormat="1" ht="15" customHeight="1">
      <c r="A58" s="24"/>
      <c r="B58" s="296"/>
      <c r="C58" s="274"/>
      <c r="D58" s="20"/>
      <c r="E58" s="285"/>
      <c r="F58" s="287"/>
      <c r="G58" s="274"/>
      <c r="H58" s="274"/>
      <c r="I58" s="274"/>
    </row>
    <row r="59" spans="1:9" s="26" customFormat="1" ht="27.75" customHeight="1">
      <c r="A59" s="24"/>
      <c r="B59" s="296"/>
      <c r="C59" s="904" t="s">
        <v>461</v>
      </c>
      <c r="D59" s="904"/>
      <c r="E59" s="904"/>
      <c r="F59" s="904"/>
      <c r="G59" s="904"/>
      <c r="H59" s="904"/>
      <c r="I59" s="904"/>
    </row>
    <row r="60" spans="1:9" s="26" customFormat="1" ht="15" customHeight="1">
      <c r="A60" s="24"/>
      <c r="B60" s="296"/>
      <c r="C60" s="274"/>
      <c r="D60" s="274"/>
      <c r="E60" s="274"/>
      <c r="F60" s="274"/>
      <c r="G60" s="274"/>
      <c r="H60" s="274"/>
      <c r="I60" s="274"/>
    </row>
    <row r="61" spans="1:9" s="26" customFormat="1" ht="52.5" customHeight="1">
      <c r="A61" s="24"/>
      <c r="B61" s="296" t="s">
        <v>463</v>
      </c>
      <c r="C61" s="904" t="s">
        <v>468</v>
      </c>
      <c r="D61" s="904"/>
      <c r="E61" s="904"/>
      <c r="F61" s="904"/>
      <c r="G61" s="904"/>
      <c r="H61" s="904"/>
      <c r="I61" s="904"/>
    </row>
    <row r="62" spans="1:9" s="26" customFormat="1" ht="13.5" customHeight="1">
      <c r="A62" s="24"/>
      <c r="B62" s="296"/>
      <c r="C62" s="274"/>
      <c r="D62" s="274"/>
      <c r="E62" s="274"/>
      <c r="F62" s="274"/>
      <c r="G62" s="274"/>
      <c r="H62" s="274"/>
      <c r="I62" s="274"/>
    </row>
    <row r="63" spans="1:9" s="26" customFormat="1" ht="13.5" customHeight="1" thickBot="1">
      <c r="A63" s="24"/>
      <c r="B63" s="296"/>
      <c r="C63" s="274"/>
      <c r="D63" s="289" t="s">
        <v>466</v>
      </c>
      <c r="E63" s="290" t="s">
        <v>114</v>
      </c>
      <c r="F63" s="274"/>
      <c r="G63" s="274"/>
      <c r="H63" s="274"/>
      <c r="I63" s="274"/>
    </row>
    <row r="64" spans="1:9" s="26" customFormat="1" ht="13.5" customHeight="1" thickBot="1">
      <c r="A64" s="24"/>
      <c r="B64" s="296"/>
      <c r="C64" s="274"/>
      <c r="D64" s="291" t="str">
        <f>CONCATENATE(CHOOSE(MOD(E64,10)+1,"癸","甲","乙","丙","丁","戊","己","庚","辛","壬"),(CHOOSE(MOD(E64,12)+1,"亥","子","丑","寅","卯","辰","巳","午","未","申","酉","戌")))</f>
        <v>庚辰</v>
      </c>
      <c r="E64" s="288">
        <v>17</v>
      </c>
      <c r="F64" s="281" t="s">
        <v>469</v>
      </c>
      <c r="G64" s="274"/>
      <c r="H64" s="274"/>
      <c r="I64" s="274"/>
    </row>
    <row r="65" spans="1:9" s="26" customFormat="1" ht="13.5" customHeight="1">
      <c r="A65" s="24"/>
      <c r="B65" s="296"/>
      <c r="C65" s="274"/>
      <c r="D65" s="274"/>
      <c r="E65" s="274"/>
      <c r="F65" s="274"/>
      <c r="G65" s="274"/>
      <c r="H65" s="274"/>
      <c r="I65" s="274"/>
    </row>
    <row r="66" spans="1:9" s="26" customFormat="1" ht="13.5" customHeight="1">
      <c r="A66" s="24"/>
      <c r="B66" s="296"/>
      <c r="C66" s="904" t="s">
        <v>467</v>
      </c>
      <c r="D66" s="904"/>
      <c r="E66" s="904"/>
      <c r="F66" s="904"/>
      <c r="G66" s="904"/>
      <c r="H66" s="904"/>
      <c r="I66" s="904"/>
    </row>
    <row r="67" spans="1:9" s="26" customFormat="1" ht="15" customHeight="1">
      <c r="A67" s="24"/>
      <c r="B67" s="296"/>
      <c r="C67" s="274"/>
      <c r="D67" s="274"/>
      <c r="E67" s="274"/>
      <c r="F67" s="274"/>
      <c r="G67" s="274"/>
      <c r="H67" s="274"/>
      <c r="I67" s="274"/>
    </row>
    <row r="68" spans="1:9" s="26" customFormat="1" ht="15" customHeight="1">
      <c r="A68" s="24"/>
      <c r="B68" s="296"/>
      <c r="C68" s="274"/>
      <c r="D68" s="20" t="s">
        <v>464</v>
      </c>
      <c r="E68" s="284">
        <f>mean_solar_year-6*60</f>
        <v>5.25</v>
      </c>
      <c r="F68" s="274" t="s">
        <v>465</v>
      </c>
      <c r="G68" s="274"/>
      <c r="H68" s="274"/>
      <c r="I68" s="274"/>
    </row>
    <row r="69" spans="1:9" s="26" customFormat="1" ht="15" customHeight="1">
      <c r="A69" s="24"/>
      <c r="B69" s="296"/>
      <c r="C69" s="274"/>
      <c r="D69" s="274"/>
      <c r="E69" s="274"/>
      <c r="F69" s="274"/>
      <c r="G69" s="274"/>
      <c r="H69" s="274"/>
      <c r="I69" s="274"/>
    </row>
    <row r="70" spans="1:9" s="26" customFormat="1" ht="52.5" customHeight="1">
      <c r="A70" s="24"/>
      <c r="B70" s="296"/>
      <c r="C70" s="904" t="s">
        <v>470</v>
      </c>
      <c r="D70" s="904"/>
      <c r="E70" s="904"/>
      <c r="F70" s="904"/>
      <c r="G70" s="904"/>
      <c r="H70" s="904"/>
      <c r="I70" s="904"/>
    </row>
    <row r="71" spans="1:9" s="26" customFormat="1" ht="14.25" customHeight="1">
      <c r="A71" s="24"/>
      <c r="B71" s="296"/>
      <c r="C71" s="274"/>
      <c r="D71" s="274"/>
      <c r="E71" s="274"/>
      <c r="F71" s="274"/>
      <c r="G71" s="274"/>
      <c r="H71" s="274"/>
      <c r="I71" s="274"/>
    </row>
    <row r="72" spans="1:9" s="26" customFormat="1" ht="15" customHeight="1">
      <c r="A72" s="24"/>
      <c r="B72" s="296"/>
      <c r="C72" s="292" t="s">
        <v>471</v>
      </c>
      <c r="D72" s="292" t="s">
        <v>466</v>
      </c>
      <c r="E72" s="293" t="s">
        <v>114</v>
      </c>
      <c r="F72" s="294" t="s">
        <v>472</v>
      </c>
      <c r="G72" s="274"/>
      <c r="H72" s="274"/>
      <c r="I72" s="274"/>
    </row>
    <row r="73" spans="1:9" s="26" customFormat="1" ht="12.75" customHeight="1">
      <c r="A73" s="24"/>
      <c r="B73" s="296"/>
      <c r="C73" s="6">
        <v>1</v>
      </c>
      <c r="D73" s="282" t="str">
        <f>D64</f>
        <v>庚辰</v>
      </c>
      <c r="E73" s="295">
        <f>E64</f>
        <v>17</v>
      </c>
      <c r="F73" s="297">
        <v>0</v>
      </c>
      <c r="G73" s="274"/>
      <c r="H73" s="274"/>
      <c r="I73" s="274"/>
    </row>
    <row r="74" spans="1:9" s="26" customFormat="1" ht="13.5" customHeight="1">
      <c r="A74" s="24"/>
      <c r="B74" s="296"/>
      <c r="C74" s="6">
        <v>2</v>
      </c>
      <c r="D74" s="282" t="str">
        <f>CONCATENATE(CHOOSE(MOD(E74,10)+1,"癸","甲","乙","丙","丁","戊","己","庚","辛","壬"),(CHOOSE(MOD(E74,12)+1,"亥","子","丑","寅","卯","辰","巳","午","未","申","酉","戌")))</f>
        <v>乙酉</v>
      </c>
      <c r="E74" s="295">
        <f>MOD(INT(E73+$E$68-1),60)+1</f>
        <v>22</v>
      </c>
      <c r="F74" s="297">
        <v>0.25</v>
      </c>
      <c r="G74" s="274"/>
      <c r="H74" s="274"/>
      <c r="I74" s="274"/>
    </row>
    <row r="75" spans="1:9" s="26" customFormat="1" ht="13.5" customHeight="1">
      <c r="A75" s="24"/>
      <c r="B75" s="296"/>
      <c r="C75" s="6">
        <v>3</v>
      </c>
      <c r="D75" s="282" t="str">
        <f>CONCATENATE(CHOOSE(MOD(E75,10)+1,"癸","甲","乙","丙","丁","戊","己","庚","辛","壬"),(CHOOSE(MOD(E75,12)+1,"亥","子","丑","寅","卯","辰","巳","午","未","申","酉","戌")))</f>
        <v>庚寅</v>
      </c>
      <c r="E75" s="295">
        <f t="shared" ref="E75:E77" si="0">MOD(INT(E74+$E$68-1),60)+1</f>
        <v>27</v>
      </c>
      <c r="F75" s="297">
        <v>0.5</v>
      </c>
      <c r="G75" s="274"/>
      <c r="H75" s="274"/>
      <c r="I75" s="274"/>
    </row>
    <row r="76" spans="1:9" s="26" customFormat="1" ht="13.5" customHeight="1">
      <c r="A76" s="24"/>
      <c r="B76" s="280"/>
      <c r="C76" s="6">
        <v>4</v>
      </c>
      <c r="D76" s="282" t="str">
        <f>CONCATENATE(CHOOSE(MOD(E76,10)+1,"癸","甲","乙","丙","丁","戊","己","庚","辛","壬"),(CHOOSE(MOD(E76,12)+1,"亥","子","丑","寅","卯","辰","巳","午","未","申","酉","戌")))</f>
        <v>乙未</v>
      </c>
      <c r="E76" s="295">
        <f t="shared" si="0"/>
        <v>32</v>
      </c>
      <c r="F76" s="297">
        <v>0.75</v>
      </c>
      <c r="G76" s="274"/>
      <c r="H76" s="274"/>
      <c r="I76" s="274"/>
    </row>
    <row r="77" spans="1:9" s="26" customFormat="1" ht="15" customHeight="1">
      <c r="A77" s="24"/>
      <c r="B77" s="280"/>
      <c r="C77" s="282">
        <v>5</v>
      </c>
      <c r="D77" s="282" t="str">
        <f>CONCATENATE(CHOOSE(MOD(E77,10)+1,"癸","甲","乙","丙","丁","戊","己","庚","辛","壬"),(CHOOSE(MOD(E77,12)+1,"亥","子","丑","寅","卯","辰","巳","午","未","申","酉","戌")))</f>
        <v>庚子</v>
      </c>
      <c r="E77" s="295">
        <f t="shared" si="0"/>
        <v>37</v>
      </c>
      <c r="F77" s="297">
        <v>0</v>
      </c>
      <c r="G77" s="274"/>
      <c r="H77" s="274"/>
      <c r="I77" s="274"/>
    </row>
    <row r="78" spans="1:9" s="26" customFormat="1" ht="15" customHeight="1">
      <c r="A78" s="24"/>
      <c r="B78" s="280"/>
      <c r="C78" s="282" t="s">
        <v>108</v>
      </c>
      <c r="D78" s="282" t="s">
        <v>108</v>
      </c>
      <c r="E78" s="274" t="s">
        <v>108</v>
      </c>
      <c r="F78" s="297" t="s">
        <v>108</v>
      </c>
      <c r="G78" s="274"/>
      <c r="H78" s="274"/>
      <c r="I78" s="274"/>
    </row>
    <row r="79" spans="1:9" s="26" customFormat="1" ht="15" customHeight="1">
      <c r="A79" s="24"/>
      <c r="B79" s="280"/>
      <c r="C79" s="274"/>
      <c r="D79" s="274"/>
      <c r="E79" s="274"/>
      <c r="F79" s="274"/>
      <c r="G79" s="274"/>
      <c r="H79" s="274"/>
      <c r="I79" s="274"/>
    </row>
    <row r="80" spans="1:9" s="26" customFormat="1" ht="40.5" customHeight="1">
      <c r="A80" s="24"/>
      <c r="B80" s="296" t="s">
        <v>473</v>
      </c>
      <c r="C80" s="904" t="s">
        <v>475</v>
      </c>
      <c r="D80" s="904"/>
      <c r="E80" s="904"/>
      <c r="F80" s="904"/>
      <c r="G80" s="904"/>
      <c r="H80" s="904"/>
      <c r="I80" s="904"/>
    </row>
    <row r="81" spans="1:9" s="26" customFormat="1" ht="15" customHeight="1">
      <c r="A81" s="24"/>
      <c r="B81" s="280"/>
      <c r="C81" s="274"/>
      <c r="D81" s="274"/>
      <c r="E81" s="274"/>
      <c r="F81" s="274"/>
      <c r="G81" s="274"/>
      <c r="H81" s="274"/>
      <c r="I81" s="274"/>
    </row>
    <row r="82" spans="1:9" s="26" customFormat="1" ht="15" customHeight="1">
      <c r="A82" s="24"/>
      <c r="B82" s="280"/>
      <c r="C82" s="274"/>
      <c r="D82" s="282" t="s">
        <v>474</v>
      </c>
      <c r="E82" s="284">
        <f>mean_solar_year*章法</f>
        <v>6939.75</v>
      </c>
      <c r="F82" s="274"/>
      <c r="G82" s="274"/>
      <c r="H82" s="274"/>
      <c r="I82" s="274"/>
    </row>
    <row r="83" spans="1:9" s="26" customFormat="1" ht="15" customHeight="1">
      <c r="A83" s="24"/>
      <c r="B83" s="280"/>
      <c r="C83" s="274"/>
      <c r="D83" s="274"/>
      <c r="E83" s="274"/>
      <c r="F83" s="274"/>
      <c r="G83" s="274"/>
      <c r="H83" s="274"/>
      <c r="I83" s="274"/>
    </row>
    <row r="84" spans="1:9" s="26" customFormat="1" ht="30" customHeight="1">
      <c r="A84" s="24"/>
      <c r="B84" s="280"/>
      <c r="C84" s="904" t="s">
        <v>476</v>
      </c>
      <c r="D84" s="904"/>
      <c r="E84" s="904"/>
      <c r="F84" s="904"/>
      <c r="G84" s="904"/>
      <c r="H84" s="904"/>
      <c r="I84" s="904"/>
    </row>
    <row r="85" spans="1:9" s="26" customFormat="1" ht="12.75" customHeight="1">
      <c r="A85" s="24"/>
      <c r="B85" s="280"/>
      <c r="C85" s="274"/>
      <c r="D85" s="274"/>
      <c r="E85" s="274"/>
      <c r="F85" s="274"/>
      <c r="G85" s="274"/>
      <c r="H85" s="274"/>
      <c r="I85" s="274"/>
    </row>
    <row r="86" spans="1:9" s="26" customFormat="1" ht="13.5" customHeight="1">
      <c r="A86" s="24"/>
      <c r="B86" s="280"/>
      <c r="C86" s="274"/>
      <c r="D86" s="282" t="s">
        <v>477</v>
      </c>
      <c r="E86" s="274">
        <f>章法*4</f>
        <v>76</v>
      </c>
      <c r="F86" s="274" t="s">
        <v>480</v>
      </c>
      <c r="G86" s="274"/>
      <c r="H86" s="274"/>
      <c r="I86" s="274"/>
    </row>
    <row r="87" spans="1:9" s="26" customFormat="1" ht="13.5" customHeight="1">
      <c r="A87" s="24"/>
      <c r="B87" s="280"/>
      <c r="C87" s="274"/>
      <c r="D87" s="282" t="s">
        <v>478</v>
      </c>
      <c r="E87" s="274">
        <f>章月*4</f>
        <v>940</v>
      </c>
      <c r="F87" s="274" t="s">
        <v>481</v>
      </c>
      <c r="G87" s="274"/>
      <c r="H87" s="274"/>
      <c r="I87" s="274"/>
    </row>
    <row r="88" spans="1:9" s="26" customFormat="1" ht="13.5" customHeight="1">
      <c r="A88" s="24"/>
      <c r="B88" s="280"/>
      <c r="C88" s="274"/>
      <c r="D88" s="282" t="s">
        <v>479</v>
      </c>
      <c r="E88" s="274">
        <f>E82*4</f>
        <v>27759</v>
      </c>
      <c r="F88" s="274" t="s">
        <v>482</v>
      </c>
      <c r="G88" s="274"/>
      <c r="H88" s="274"/>
      <c r="I88" s="274"/>
    </row>
    <row r="89" spans="1:9" s="26" customFormat="1" ht="13.5" customHeight="1">
      <c r="A89" s="24"/>
      <c r="B89" s="280"/>
      <c r="C89" s="274"/>
      <c r="D89" s="274"/>
      <c r="E89" s="274"/>
      <c r="F89" s="274"/>
      <c r="G89" s="274"/>
      <c r="H89" s="274"/>
      <c r="I89" s="274"/>
    </row>
    <row r="90" spans="1:9" s="26" customFormat="1" ht="53.25" customHeight="1">
      <c r="A90" s="24"/>
      <c r="B90" s="280"/>
      <c r="C90" s="904" t="s">
        <v>484</v>
      </c>
      <c r="D90" s="904"/>
      <c r="E90" s="904"/>
      <c r="F90" s="904"/>
      <c r="G90" s="904"/>
      <c r="H90" s="904"/>
      <c r="I90" s="904"/>
    </row>
    <row r="91" spans="1:9" s="26" customFormat="1" ht="13.5" customHeight="1">
      <c r="A91" s="24"/>
      <c r="B91" s="280"/>
      <c r="C91" s="274"/>
      <c r="D91" s="274"/>
      <c r="E91" s="274"/>
      <c r="F91" s="274"/>
      <c r="G91" s="274"/>
      <c r="H91" s="274"/>
      <c r="I91" s="274"/>
    </row>
    <row r="92" spans="1:9" s="26" customFormat="1" ht="13.5" customHeight="1">
      <c r="A92" s="24"/>
      <c r="B92" s="280"/>
      <c r="C92" s="292" t="s">
        <v>483</v>
      </c>
      <c r="D92" s="292" t="s">
        <v>466</v>
      </c>
      <c r="E92" s="293" t="s">
        <v>114</v>
      </c>
      <c r="F92" s="294" t="s">
        <v>472</v>
      </c>
      <c r="G92" s="274"/>
      <c r="H92" s="274"/>
      <c r="I92" s="274"/>
    </row>
    <row r="93" spans="1:9" s="26" customFormat="1" ht="13.5" customHeight="1">
      <c r="A93" s="24"/>
      <c r="B93" s="280"/>
      <c r="C93" s="282">
        <v>1</v>
      </c>
      <c r="D93" s="282" t="str">
        <f>CONCATENATE(CHOOSE(MOD(E93,10)+1,"癸","甲","乙","丙","丁","戊","己","庚","辛","壬"),(CHOOSE(MOD(E93,12)+1,"亥","子","丑","寅","卯","辰","巳","午","未","申","酉","戌")))</f>
        <v>甲子</v>
      </c>
      <c r="E93" s="295">
        <v>1</v>
      </c>
      <c r="F93" s="297">
        <v>0</v>
      </c>
      <c r="G93" s="274"/>
      <c r="H93" s="274"/>
      <c r="I93" s="274"/>
    </row>
    <row r="94" spans="1:9" s="26" customFormat="1" ht="13.5" customHeight="1">
      <c r="A94" s="24"/>
      <c r="B94" s="280"/>
      <c r="C94" s="282">
        <v>2</v>
      </c>
      <c r="D94" s="282" t="str">
        <f>CONCATENATE(CHOOSE(MOD(E94,10)+1,"癸","甲","乙","丙","丁","戊","己","庚","辛","壬"),(CHOOSE(MOD(E94,12)+1,"亥","子","丑","寅","卯","辰","巳","午","未","申","酉","戌")))</f>
        <v>癸卯</v>
      </c>
      <c r="E94" s="295">
        <f>MOD(E93+39-1,60)+1</f>
        <v>40</v>
      </c>
      <c r="F94" s="297">
        <v>0</v>
      </c>
      <c r="G94" s="274"/>
      <c r="H94" s="274"/>
      <c r="I94" s="274"/>
    </row>
    <row r="95" spans="1:9" s="26" customFormat="1" ht="13.5" customHeight="1">
      <c r="A95" s="24"/>
      <c r="B95" s="280"/>
      <c r="C95" s="282">
        <v>3</v>
      </c>
      <c r="D95" s="282" t="str">
        <f>CONCATENATE(CHOOSE(MOD(E95,10)+1,"癸","甲","乙","丙","丁","戊","己","庚","辛","壬"),(CHOOSE(MOD(E95,12)+1,"亥","子","丑","寅","卯","辰","巳","午","未","申","酉","戌")))</f>
        <v>壬午</v>
      </c>
      <c r="E95" s="295">
        <f>MOD(E94+39-1,60)+1</f>
        <v>19</v>
      </c>
      <c r="F95" s="297">
        <v>0</v>
      </c>
      <c r="G95" s="274"/>
      <c r="H95" s="274"/>
      <c r="I95" s="274"/>
    </row>
    <row r="96" spans="1:9" s="26" customFormat="1" ht="13.5" customHeight="1">
      <c r="A96" s="24"/>
      <c r="B96" s="280"/>
      <c r="C96" s="282" t="s">
        <v>108</v>
      </c>
      <c r="D96" s="282" t="s">
        <v>108</v>
      </c>
      <c r="E96" s="274" t="s">
        <v>108</v>
      </c>
      <c r="F96" s="297" t="s">
        <v>108</v>
      </c>
      <c r="G96" s="274"/>
      <c r="H96" s="274"/>
      <c r="I96" s="274"/>
    </row>
    <row r="97" spans="1:9" s="26" customFormat="1" ht="13.5" customHeight="1">
      <c r="A97" s="24"/>
      <c r="B97" s="280"/>
      <c r="C97" s="274"/>
      <c r="D97" s="274"/>
      <c r="E97" s="274"/>
      <c r="F97" s="297"/>
      <c r="G97" s="274"/>
      <c r="H97" s="274"/>
      <c r="I97" s="274"/>
    </row>
    <row r="98" spans="1:9" s="26" customFormat="1" ht="26.25" customHeight="1">
      <c r="A98" s="24"/>
      <c r="B98" s="280"/>
      <c r="C98" s="904" t="s">
        <v>485</v>
      </c>
      <c r="D98" s="904"/>
      <c r="E98" s="904"/>
      <c r="F98" s="904"/>
      <c r="G98" s="904"/>
      <c r="H98" s="904"/>
      <c r="I98" s="904"/>
    </row>
    <row r="99" spans="1:9" s="26" customFormat="1" ht="13.5" customHeight="1">
      <c r="A99" s="24"/>
      <c r="B99" s="280"/>
      <c r="C99" s="274"/>
      <c r="D99" s="274"/>
      <c r="E99" s="274"/>
      <c r="F99" s="297"/>
      <c r="G99" s="274"/>
      <c r="H99" s="274"/>
      <c r="I99" s="274"/>
    </row>
    <row r="100" spans="1:9" s="26" customFormat="1" ht="13.5" customHeight="1">
      <c r="A100" s="24"/>
      <c r="B100" s="280"/>
      <c r="C100" s="274"/>
      <c r="D100" s="282" t="s">
        <v>486</v>
      </c>
      <c r="E100" s="274">
        <f>蔀法*20</f>
        <v>1520</v>
      </c>
      <c r="F100" s="274" t="s">
        <v>480</v>
      </c>
      <c r="G100" s="274"/>
      <c r="H100" s="274"/>
      <c r="I100" s="274"/>
    </row>
    <row r="101" spans="1:9" s="26" customFormat="1" ht="13.5" customHeight="1">
      <c r="A101" s="24"/>
      <c r="B101" s="280"/>
      <c r="C101" s="274"/>
      <c r="D101" s="282" t="s">
        <v>487</v>
      </c>
      <c r="E101" s="274">
        <f>蔀月*20</f>
        <v>18800</v>
      </c>
      <c r="F101" s="274" t="s">
        <v>481</v>
      </c>
      <c r="G101" s="274"/>
      <c r="H101" s="274"/>
      <c r="I101" s="274"/>
    </row>
    <row r="102" spans="1:9" s="26" customFormat="1" ht="13.5" customHeight="1">
      <c r="A102" s="24"/>
      <c r="B102" s="280"/>
      <c r="C102" s="274"/>
      <c r="D102" s="298" t="s">
        <v>488</v>
      </c>
      <c r="E102" s="299">
        <f>蔀日*20</f>
        <v>555180</v>
      </c>
      <c r="F102" s="299" t="s">
        <v>482</v>
      </c>
      <c r="G102" s="274"/>
      <c r="H102" s="274"/>
      <c r="I102" s="274"/>
    </row>
    <row r="103" spans="1:9" s="26" customFormat="1" ht="13.5" customHeight="1">
      <c r="A103" s="24"/>
      <c r="B103" s="280"/>
      <c r="C103" s="274"/>
      <c r="D103" s="274"/>
      <c r="E103" s="274"/>
      <c r="F103" s="297"/>
      <c r="G103" s="274"/>
      <c r="H103" s="274"/>
      <c r="I103" s="274"/>
    </row>
    <row r="104" spans="1:9" s="26" customFormat="1" ht="41.25" customHeight="1">
      <c r="A104" s="24"/>
      <c r="B104" s="280"/>
      <c r="C104" s="904" t="s">
        <v>489</v>
      </c>
      <c r="D104" s="904"/>
      <c r="E104" s="904"/>
      <c r="F104" s="904"/>
      <c r="G104" s="904"/>
      <c r="H104" s="904"/>
      <c r="I104" s="904"/>
    </row>
    <row r="105" spans="1:9" s="26" customFormat="1" ht="13.5" customHeight="1">
      <c r="A105" s="24"/>
      <c r="B105" s="280"/>
      <c r="C105" s="274"/>
      <c r="D105" s="274"/>
      <c r="E105" s="274"/>
      <c r="F105" s="297"/>
      <c r="G105" s="274"/>
      <c r="H105" s="274"/>
      <c r="I105" s="274"/>
    </row>
    <row r="106" spans="1:9" s="26" customFormat="1" ht="13.5" customHeight="1">
      <c r="A106" s="24"/>
      <c r="B106" s="280"/>
      <c r="C106" s="274"/>
      <c r="D106" s="282" t="s">
        <v>490</v>
      </c>
      <c r="E106" s="274">
        <f>紀法*3</f>
        <v>4560</v>
      </c>
      <c r="F106" s="274" t="s">
        <v>480</v>
      </c>
      <c r="G106" s="274"/>
      <c r="H106" s="274"/>
      <c r="I106" s="274"/>
    </row>
    <row r="107" spans="1:9" s="26" customFormat="1" ht="13.5" customHeight="1">
      <c r="A107" s="24"/>
      <c r="B107" s="280"/>
      <c r="C107" s="274"/>
      <c r="D107" s="298" t="s">
        <v>491</v>
      </c>
      <c r="E107" s="299">
        <f>紀月*3</f>
        <v>56400</v>
      </c>
      <c r="F107" s="299" t="s">
        <v>481</v>
      </c>
      <c r="G107" s="274"/>
      <c r="H107" s="274"/>
      <c r="I107" s="274"/>
    </row>
    <row r="108" spans="1:9" s="26" customFormat="1" ht="13.5" customHeight="1">
      <c r="A108" s="24"/>
      <c r="B108" s="280"/>
      <c r="C108" s="274"/>
      <c r="D108" s="298" t="s">
        <v>488</v>
      </c>
      <c r="E108" s="299">
        <f>E102*3</f>
        <v>1665540</v>
      </c>
      <c r="F108" s="299" t="s">
        <v>482</v>
      </c>
      <c r="G108" s="274"/>
      <c r="H108" s="274"/>
      <c r="I108" s="274"/>
    </row>
    <row r="109" spans="1:9" s="26" customFormat="1" ht="13.5" customHeight="1">
      <c r="A109" s="24"/>
      <c r="B109" s="280"/>
      <c r="C109" s="274"/>
      <c r="D109" s="274"/>
      <c r="E109" s="274"/>
      <c r="F109" s="297"/>
      <c r="G109" s="274"/>
      <c r="H109" s="274"/>
      <c r="I109" s="274"/>
    </row>
    <row r="110" spans="1:9" s="26" customFormat="1" ht="13.5" customHeight="1">
      <c r="A110" s="24"/>
      <c r="B110" s="280"/>
      <c r="C110" s="904" t="s">
        <v>492</v>
      </c>
      <c r="D110" s="904"/>
      <c r="E110" s="904"/>
      <c r="F110" s="904"/>
      <c r="G110" s="904"/>
      <c r="H110" s="904"/>
      <c r="I110" s="904"/>
    </row>
    <row r="111" spans="1:9" s="26" customFormat="1" ht="13.5" customHeight="1">
      <c r="A111" s="24"/>
      <c r="B111" s="280"/>
      <c r="C111" s="274"/>
      <c r="D111" s="274"/>
      <c r="E111" s="274"/>
      <c r="F111" s="297"/>
      <c r="G111" s="274"/>
      <c r="H111" s="274"/>
      <c r="I111" s="274"/>
    </row>
    <row r="112" spans="1:9" s="26" customFormat="1" ht="39.75" customHeight="1">
      <c r="A112" s="24"/>
      <c r="B112" s="296" t="s">
        <v>493</v>
      </c>
      <c r="C112" s="904" t="s">
        <v>494</v>
      </c>
      <c r="D112" s="904"/>
      <c r="E112" s="904"/>
      <c r="F112" s="904"/>
      <c r="G112" s="904"/>
      <c r="H112" s="904"/>
      <c r="I112" s="904"/>
    </row>
    <row r="113" spans="1:12" s="26" customFormat="1" ht="11.25" customHeight="1">
      <c r="A113" s="24"/>
      <c r="B113" s="280"/>
      <c r="C113" s="274"/>
      <c r="D113" s="274"/>
      <c r="E113" s="274"/>
      <c r="F113" s="274"/>
      <c r="G113" s="274"/>
      <c r="H113" s="274"/>
      <c r="I113" s="274"/>
    </row>
    <row r="114" spans="1:12" s="26" customFormat="1" ht="13.95" customHeight="1">
      <c r="A114" s="24"/>
      <c r="B114" s="280"/>
      <c r="C114" s="274"/>
      <c r="D114" s="282" t="s">
        <v>495</v>
      </c>
      <c r="E114" s="274">
        <f>254*日法</f>
        <v>1016</v>
      </c>
      <c r="F114" s="274"/>
      <c r="G114" s="274"/>
      <c r="H114" s="274"/>
      <c r="I114" s="274"/>
    </row>
    <row r="115" spans="1:12" s="26" customFormat="1" ht="11.25" customHeight="1">
      <c r="A115" s="24"/>
      <c r="B115" s="280"/>
      <c r="C115" s="274"/>
      <c r="D115" s="282"/>
      <c r="E115" s="274"/>
      <c r="F115" s="274"/>
      <c r="G115" s="274"/>
      <c r="H115" s="274"/>
      <c r="I115" s="274"/>
    </row>
    <row r="116" spans="1:12" s="26" customFormat="1" ht="27.75" customHeight="1">
      <c r="A116" s="24"/>
      <c r="B116" s="296" t="s">
        <v>496</v>
      </c>
      <c r="C116" s="904" t="s">
        <v>756</v>
      </c>
      <c r="D116" s="904"/>
      <c r="E116" s="904"/>
      <c r="F116" s="904"/>
      <c r="G116" s="904"/>
      <c r="H116" s="904"/>
      <c r="I116" s="904"/>
    </row>
    <row r="117" spans="1:12" s="26" customFormat="1" ht="11.25" customHeight="1">
      <c r="A117" s="24"/>
      <c r="B117" s="280"/>
      <c r="C117" s="274"/>
      <c r="D117" s="274"/>
      <c r="E117" s="274"/>
      <c r="F117" s="274"/>
      <c r="G117" s="274"/>
      <c r="H117" s="274"/>
      <c r="I117" s="274"/>
    </row>
    <row r="118" spans="1:12" s="23" customFormat="1" ht="12" customHeight="1" thickBot="1">
      <c r="A118" s="27"/>
    </row>
    <row r="119" spans="1:12" ht="12" customHeight="1">
      <c r="A119" s="688">
        <v>19</v>
      </c>
      <c r="B119" s="300" t="s">
        <v>437</v>
      </c>
      <c r="C119" s="301"/>
      <c r="D119" s="301"/>
      <c r="E119" s="301"/>
      <c r="F119" s="301"/>
      <c r="G119" s="302">
        <f>紀法*3</f>
        <v>4560</v>
      </c>
      <c r="L119" s="36"/>
    </row>
    <row r="120" spans="1:12" ht="12" customHeight="1">
      <c r="A120" s="688">
        <f>A119+1</f>
        <v>20</v>
      </c>
      <c r="B120" s="303" t="s">
        <v>438</v>
      </c>
      <c r="C120" s="304"/>
      <c r="D120" s="304"/>
      <c r="E120" s="304"/>
      <c r="F120" s="304"/>
      <c r="G120" s="305">
        <f>蔀法*20</f>
        <v>1520</v>
      </c>
      <c r="L120" s="36"/>
    </row>
    <row r="121" spans="1:12" ht="12" customHeight="1">
      <c r="A121" s="688">
        <f t="shared" ref="A121:A135" si="1">A120+1</f>
        <v>21</v>
      </c>
      <c r="B121" s="306" t="s">
        <v>9</v>
      </c>
      <c r="C121" s="307"/>
      <c r="D121" s="307"/>
      <c r="E121" s="307"/>
      <c r="F121" s="307"/>
      <c r="G121" s="308">
        <f>蔀月*20</f>
        <v>18800</v>
      </c>
      <c r="L121" s="36"/>
    </row>
    <row r="122" spans="1:12" ht="12" customHeight="1">
      <c r="A122" s="688">
        <f t="shared" si="1"/>
        <v>22</v>
      </c>
      <c r="B122" s="303" t="s">
        <v>439</v>
      </c>
      <c r="C122" s="304"/>
      <c r="D122" s="304"/>
      <c r="E122" s="304"/>
      <c r="F122" s="304"/>
      <c r="G122" s="305">
        <f>章法*4</f>
        <v>76</v>
      </c>
      <c r="L122" s="36"/>
    </row>
    <row r="123" spans="1:12" ht="12" customHeight="1">
      <c r="A123" s="688">
        <f t="shared" si="1"/>
        <v>23</v>
      </c>
      <c r="B123" s="306" t="s">
        <v>10</v>
      </c>
      <c r="C123" s="307"/>
      <c r="D123" s="307"/>
      <c r="E123" s="307"/>
      <c r="F123" s="307"/>
      <c r="G123" s="308">
        <f>章月*4</f>
        <v>940</v>
      </c>
      <c r="L123" s="36"/>
    </row>
    <row r="124" spans="1:12" ht="12" customHeight="1">
      <c r="A124" s="688">
        <f t="shared" si="1"/>
        <v>24</v>
      </c>
      <c r="B124" s="335" t="s">
        <v>11</v>
      </c>
      <c r="C124" s="336"/>
      <c r="D124" s="336"/>
      <c r="E124" s="336"/>
      <c r="F124" s="336"/>
      <c r="G124" s="337">
        <v>19</v>
      </c>
      <c r="L124" s="42"/>
    </row>
    <row r="125" spans="1:12" ht="12" customHeight="1">
      <c r="A125" s="688">
        <f t="shared" si="1"/>
        <v>25</v>
      </c>
      <c r="B125" s="335" t="s">
        <v>440</v>
      </c>
      <c r="C125" s="336"/>
      <c r="D125" s="336"/>
      <c r="E125" s="336"/>
      <c r="F125" s="336"/>
      <c r="G125" s="337">
        <v>235</v>
      </c>
      <c r="L125" s="42"/>
    </row>
    <row r="126" spans="1:12" ht="12" customHeight="1">
      <c r="A126" s="688">
        <f t="shared" si="1"/>
        <v>26</v>
      </c>
      <c r="B126" s="338" t="s">
        <v>12</v>
      </c>
      <c r="C126" s="339"/>
      <c r="D126" s="339"/>
      <c r="E126" s="339"/>
      <c r="F126" s="339"/>
      <c r="G126" s="340">
        <f>365.25*日法</f>
        <v>1461</v>
      </c>
      <c r="L126" s="42"/>
    </row>
    <row r="127" spans="1:12" ht="12" customHeight="1">
      <c r="A127" s="688">
        <f t="shared" si="1"/>
        <v>27</v>
      </c>
      <c r="B127" s="341" t="s">
        <v>13</v>
      </c>
      <c r="C127" s="342"/>
      <c r="D127" s="342"/>
      <c r="E127" s="342"/>
      <c r="F127" s="342"/>
      <c r="G127" s="343">
        <v>4</v>
      </c>
      <c r="L127" s="42"/>
    </row>
    <row r="128" spans="1:12" ht="12" customHeight="1">
      <c r="A128" s="688">
        <f t="shared" si="1"/>
        <v>28</v>
      </c>
      <c r="B128" s="309" t="s">
        <v>14</v>
      </c>
      <c r="C128" s="310"/>
      <c r="D128" s="310"/>
      <c r="E128" s="310"/>
      <c r="F128" s="310"/>
      <c r="G128" s="315">
        <f>蔀法*周天/日法</f>
        <v>27759</v>
      </c>
      <c r="L128" s="36"/>
    </row>
    <row r="129" spans="1:12" ht="12" customHeight="1">
      <c r="A129" s="688">
        <f t="shared" si="1"/>
        <v>29</v>
      </c>
      <c r="B129" s="309" t="s">
        <v>441</v>
      </c>
      <c r="C129" s="310"/>
      <c r="D129" s="310"/>
      <c r="E129" s="310"/>
      <c r="F129" s="310"/>
      <c r="G129" s="315">
        <f>周天-360*日法</f>
        <v>21</v>
      </c>
      <c r="L129" s="36"/>
    </row>
    <row r="130" spans="1:12" ht="12" customHeight="1">
      <c r="A130" s="688">
        <f t="shared" si="1"/>
        <v>30</v>
      </c>
      <c r="B130" s="309" t="s">
        <v>15</v>
      </c>
      <c r="C130" s="310"/>
      <c r="D130" s="310"/>
      <c r="E130" s="310"/>
      <c r="F130" s="310"/>
      <c r="G130" s="311">
        <v>487</v>
      </c>
      <c r="L130" s="36"/>
    </row>
    <row r="131" spans="1:12" ht="12" customHeight="1">
      <c r="A131" s="688">
        <f t="shared" si="1"/>
        <v>31</v>
      </c>
      <c r="B131" s="309" t="s">
        <v>16</v>
      </c>
      <c r="C131" s="310"/>
      <c r="D131" s="310"/>
      <c r="E131" s="310"/>
      <c r="F131" s="310"/>
      <c r="G131" s="311">
        <v>7</v>
      </c>
      <c r="L131" s="36"/>
    </row>
    <row r="132" spans="1:12" ht="12" customHeight="1">
      <c r="A132" s="688">
        <f t="shared" si="1"/>
        <v>32</v>
      </c>
      <c r="B132" s="309" t="s">
        <v>17</v>
      </c>
      <c r="C132" s="310"/>
      <c r="D132" s="310"/>
      <c r="E132" s="310"/>
      <c r="F132" s="310"/>
      <c r="G132" s="311">
        <v>168</v>
      </c>
      <c r="L132" s="36"/>
    </row>
    <row r="133" spans="1:12" ht="12" customHeight="1">
      <c r="A133" s="688">
        <f t="shared" si="1"/>
        <v>33</v>
      </c>
      <c r="B133" s="309" t="s">
        <v>442</v>
      </c>
      <c r="C133" s="310"/>
      <c r="D133" s="310"/>
      <c r="E133" s="310"/>
      <c r="F133" s="310"/>
      <c r="G133" s="311">
        <f>日法*8</f>
        <v>32</v>
      </c>
      <c r="L133" s="36"/>
    </row>
    <row r="134" spans="1:12" ht="12" customHeight="1">
      <c r="A134" s="688">
        <f t="shared" si="1"/>
        <v>34</v>
      </c>
      <c r="B134" s="309" t="s">
        <v>18</v>
      </c>
      <c r="C134" s="310"/>
      <c r="D134" s="310"/>
      <c r="E134" s="310"/>
      <c r="F134" s="310"/>
      <c r="G134" s="311">
        <f>章月*周天</f>
        <v>343335</v>
      </c>
      <c r="L134" s="36"/>
    </row>
    <row r="135" spans="1:12" ht="12" customHeight="1">
      <c r="A135" s="688">
        <f t="shared" si="1"/>
        <v>35</v>
      </c>
      <c r="B135" s="312" t="s">
        <v>19</v>
      </c>
      <c r="C135" s="313"/>
      <c r="D135" s="313"/>
      <c r="E135" s="313"/>
      <c r="F135" s="313"/>
      <c r="G135" s="314">
        <f>254*日法</f>
        <v>1016</v>
      </c>
      <c r="L135" s="36"/>
    </row>
    <row r="136" spans="1:12" ht="12" customHeight="1"/>
    <row r="137" spans="1:12" ht="12" customHeight="1">
      <c r="A137" s="405" t="s">
        <v>946</v>
      </c>
    </row>
    <row r="138" spans="1:12" s="48" customFormat="1" ht="39" customHeight="1">
      <c r="A138" s="690">
        <f>A135+1</f>
        <v>36</v>
      </c>
      <c r="B138" s="907" t="s">
        <v>504</v>
      </c>
      <c r="C138" s="907"/>
      <c r="D138" s="907"/>
      <c r="E138" s="907"/>
      <c r="F138" s="907"/>
      <c r="G138" s="907"/>
      <c r="H138" s="907"/>
      <c r="I138" s="907"/>
    </row>
    <row r="139" spans="1:12" s="48" customFormat="1" ht="12" customHeight="1">
      <c r="A139" s="47"/>
      <c r="B139" s="270"/>
      <c r="C139" s="270"/>
      <c r="D139" s="270"/>
      <c r="E139" s="270"/>
      <c r="F139" s="270"/>
      <c r="G139" s="270"/>
      <c r="H139" s="270"/>
    </row>
    <row r="140" spans="1:12" s="26" customFormat="1" ht="13.5" customHeight="1">
      <c r="A140" s="24"/>
      <c r="B140" s="904" t="s">
        <v>508</v>
      </c>
      <c r="C140" s="904" t="s">
        <v>8</v>
      </c>
      <c r="D140" s="904"/>
      <c r="E140" s="904"/>
      <c r="F140" s="904"/>
      <c r="G140" s="904"/>
      <c r="H140" s="904"/>
      <c r="I140" s="904"/>
    </row>
    <row r="141" spans="1:12" s="26" customFormat="1" ht="39" customHeight="1">
      <c r="A141" s="24"/>
      <c r="B141" s="296" t="s">
        <v>446</v>
      </c>
      <c r="C141" s="904" t="s">
        <v>509</v>
      </c>
      <c r="D141" s="904"/>
      <c r="E141" s="904"/>
      <c r="F141" s="904"/>
      <c r="G141" s="904"/>
      <c r="H141" s="904"/>
      <c r="I141" s="904"/>
    </row>
    <row r="142" spans="1:12" s="26" customFormat="1" ht="14.25" customHeight="1">
      <c r="A142" s="24"/>
      <c r="B142" s="296"/>
      <c r="C142" s="274"/>
      <c r="D142" s="274"/>
      <c r="E142" s="274"/>
      <c r="F142" s="274"/>
      <c r="G142" s="274"/>
      <c r="H142" s="274"/>
      <c r="I142" s="274"/>
    </row>
    <row r="143" spans="1:12" s="26" customFormat="1" ht="39" customHeight="1">
      <c r="A143" s="24"/>
      <c r="B143" s="296" t="s">
        <v>447</v>
      </c>
      <c r="C143" s="904" t="s">
        <v>510</v>
      </c>
      <c r="D143" s="904"/>
      <c r="E143" s="904"/>
      <c r="F143" s="904"/>
      <c r="G143" s="904"/>
      <c r="H143" s="904"/>
      <c r="I143" s="904"/>
    </row>
    <row r="144" spans="1:12" s="26" customFormat="1" ht="13.95" customHeight="1">
      <c r="A144" s="24"/>
      <c r="B144" s="399" t="s">
        <v>748</v>
      </c>
      <c r="C144" s="6"/>
      <c r="D144" s="6"/>
      <c r="E144" s="6"/>
      <c r="F144" s="6"/>
      <c r="G144" s="6"/>
      <c r="H144" s="6"/>
      <c r="I144" s="6"/>
    </row>
    <row r="145" spans="1:12" s="48" customFormat="1" ht="13.2" customHeight="1" thickBot="1">
      <c r="A145" s="47"/>
      <c r="B145" s="270"/>
      <c r="C145" s="270"/>
      <c r="D145" s="270"/>
      <c r="E145" s="270"/>
      <c r="F145" s="270"/>
      <c r="G145" s="270"/>
      <c r="H145" s="270"/>
    </row>
    <row r="146" spans="1:12" s="48" customFormat="1" ht="13.2" customHeight="1">
      <c r="A146" s="688">
        <f>A138+1</f>
        <v>37</v>
      </c>
      <c r="B146" s="322" t="s">
        <v>20</v>
      </c>
      <c r="C146" s="323"/>
      <c r="D146" s="323"/>
      <c r="E146" s="323"/>
      <c r="F146" s="323"/>
      <c r="G146" s="327">
        <f>蔀會*20</f>
        <v>41040</v>
      </c>
      <c r="L146" s="102"/>
    </row>
    <row r="147" spans="1:12" s="48" customFormat="1" ht="13.2" customHeight="1">
      <c r="A147" s="688">
        <f>A146+1</f>
        <v>38</v>
      </c>
      <c r="B147" s="324" t="s">
        <v>505</v>
      </c>
      <c r="C147" s="102"/>
      <c r="D147" s="102"/>
      <c r="E147" s="102"/>
      <c r="F147" s="102"/>
      <c r="G147" s="328">
        <f>歲數*4</f>
        <v>2052</v>
      </c>
      <c r="H147" s="102"/>
      <c r="L147" s="102"/>
    </row>
    <row r="148" spans="1:12" s="48" customFormat="1" ht="13.2" customHeight="1">
      <c r="A148" s="688">
        <f t="shared" ref="A148:A151" si="2">A147+1</f>
        <v>39</v>
      </c>
      <c r="B148" s="325" t="s">
        <v>21</v>
      </c>
      <c r="G148" s="326">
        <f>月數*47*章法/章月</f>
        <v>513</v>
      </c>
      <c r="L148" s="102"/>
    </row>
    <row r="149" spans="1:12" s="48" customFormat="1" ht="13.2" customHeight="1">
      <c r="A149" s="688">
        <f t="shared" si="2"/>
        <v>40</v>
      </c>
      <c r="B149" s="325" t="s">
        <v>22</v>
      </c>
      <c r="G149" s="326">
        <f>食法*47</f>
        <v>1081</v>
      </c>
      <c r="L149" s="102"/>
    </row>
    <row r="150" spans="1:12" s="48" customFormat="1" ht="13.2" customHeight="1">
      <c r="A150" s="688">
        <f t="shared" si="2"/>
        <v>41</v>
      </c>
      <c r="B150" s="329" t="s">
        <v>506</v>
      </c>
      <c r="C150" s="330"/>
      <c r="D150" s="330"/>
      <c r="E150" s="330"/>
      <c r="F150" s="330"/>
      <c r="G150" s="331">
        <v>135</v>
      </c>
      <c r="L150" s="102"/>
    </row>
    <row r="151" spans="1:12" s="48" customFormat="1" ht="13.2" customHeight="1">
      <c r="A151" s="688">
        <f t="shared" si="2"/>
        <v>42</v>
      </c>
      <c r="B151" s="332" t="s">
        <v>507</v>
      </c>
      <c r="C151" s="333"/>
      <c r="D151" s="333"/>
      <c r="E151" s="333"/>
      <c r="F151" s="333"/>
      <c r="G151" s="334">
        <v>23</v>
      </c>
      <c r="L151" s="102"/>
    </row>
    <row r="152" spans="1:12" s="15" customFormat="1" ht="13.2" customHeight="1"/>
    <row r="153" spans="1:12" s="15" customFormat="1"/>
    <row r="154" spans="1:12" s="3" customFormat="1" ht="25.2">
      <c r="A154" s="2" t="s">
        <v>23</v>
      </c>
      <c r="B154" s="3" t="s">
        <v>462</v>
      </c>
    </row>
    <row r="156" spans="1:12" s="29" customFormat="1" ht="21">
      <c r="A156" s="28"/>
      <c r="B156" s="29" t="s">
        <v>24</v>
      </c>
      <c r="C156" s="29" t="s">
        <v>25</v>
      </c>
    </row>
    <row r="158" spans="1:12" s="31" customFormat="1" ht="12" customHeight="1">
      <c r="A158" s="316" t="s">
        <v>497</v>
      </c>
      <c r="B158" s="317" t="s">
        <v>498</v>
      </c>
      <c r="C158" s="30"/>
      <c r="D158" s="30"/>
      <c r="E158" s="30"/>
      <c r="F158" s="30"/>
      <c r="G158" s="30"/>
      <c r="H158" s="30"/>
      <c r="I158" s="30"/>
      <c r="J158" s="30"/>
      <c r="K158" s="30"/>
      <c r="L158" s="30"/>
    </row>
    <row r="159" spans="1:12" s="26" customFormat="1" ht="12" customHeight="1">
      <c r="A159" s="318" t="s">
        <v>514</v>
      </c>
      <c r="B159" s="33" t="s">
        <v>499</v>
      </c>
      <c r="C159" s="34"/>
      <c r="D159" s="34"/>
      <c r="E159" s="34"/>
      <c r="F159" s="34"/>
      <c r="G159" s="34"/>
      <c r="H159" s="34"/>
      <c r="I159" s="34">
        <f>INT(Years.Since.High.Origin/元法)</f>
        <v>2</v>
      </c>
      <c r="J159" s="319">
        <f>MOD(Years.Since.High.Origin,元法)</f>
        <v>292</v>
      </c>
      <c r="K159" s="34"/>
      <c r="L159" s="34"/>
    </row>
    <row r="160" spans="1:12" ht="12" customHeight="1"/>
    <row r="161" spans="1:12" ht="12" customHeight="1">
      <c r="A161" s="32"/>
      <c r="B161" s="39" t="s">
        <v>500</v>
      </c>
      <c r="C161" s="37"/>
      <c r="D161" s="37"/>
      <c r="E161" s="37"/>
      <c r="F161" s="37"/>
      <c r="G161" s="37"/>
      <c r="H161" s="40"/>
      <c r="I161" s="34">
        <f>INT(J159/紀法)</f>
        <v>0</v>
      </c>
      <c r="J161" s="319">
        <f>MOD(J159,紀法)</f>
        <v>292</v>
      </c>
      <c r="K161" s="38"/>
      <c r="L161" s="38"/>
    </row>
    <row r="162" spans="1:12" ht="12" customHeight="1">
      <c r="A162" s="32"/>
      <c r="B162" s="39" t="s">
        <v>501</v>
      </c>
      <c r="C162" s="37"/>
      <c r="D162" s="37"/>
      <c r="E162" s="37"/>
      <c r="F162" s="37"/>
      <c r="G162" s="37"/>
      <c r="H162" s="37"/>
      <c r="I162" s="320" t="str">
        <f>CHOOSE(I161+1,"天","地","人")</f>
        <v>天</v>
      </c>
      <c r="J162" s="35"/>
      <c r="K162" s="38"/>
      <c r="L162" s="38"/>
    </row>
    <row r="163" spans="1:12" ht="12" customHeight="1">
      <c r="A163" s="38"/>
      <c r="B163" s="38"/>
      <c r="C163" s="38"/>
      <c r="D163" s="38"/>
      <c r="E163" s="38"/>
      <c r="F163" s="38"/>
      <c r="G163" s="38"/>
    </row>
    <row r="164" spans="1:12" s="26" customFormat="1" ht="12" customHeight="1">
      <c r="A164" s="32"/>
      <c r="B164" s="39" t="s">
        <v>502</v>
      </c>
      <c r="C164" s="39"/>
      <c r="D164" s="39"/>
      <c r="E164" s="39"/>
      <c r="F164" s="39"/>
      <c r="G164" s="39"/>
      <c r="H164" s="38"/>
      <c r="I164" s="38">
        <f>INT(J161/蔀法)</f>
        <v>3</v>
      </c>
      <c r="J164" s="319">
        <f>MOD(J161,蔀法)</f>
        <v>64</v>
      </c>
      <c r="K164" s="35"/>
      <c r="L164" s="35"/>
    </row>
    <row r="165" spans="1:12" ht="12" customHeight="1">
      <c r="B165" t="s">
        <v>503</v>
      </c>
      <c r="H165" s="321"/>
      <c r="I165" s="320" t="str">
        <f>CONCATENATE(CHOOSE(MOD(J165,10)+1,"癸","甲","乙","丙","丁","戊","己","庚","辛","壬"),(CHOOSE(MOD(J165,12)+1,"亥","子","丑","寅","卯","辰","巳","午","未","申","酉","戌")))</f>
        <v>辛酉</v>
      </c>
      <c r="J165" s="319">
        <f>MOD(I164*39,60)+1</f>
        <v>58</v>
      </c>
    </row>
    <row r="166" spans="1:12" ht="12" customHeight="1">
      <c r="H166" s="321"/>
    </row>
    <row r="167" spans="1:12" ht="12" customHeight="1">
      <c r="I167" s="320"/>
      <c r="J167" s="319"/>
    </row>
    <row r="168" spans="1:12" ht="12" customHeight="1">
      <c r="B168" s="399" t="s">
        <v>578</v>
      </c>
      <c r="C168" s="296"/>
      <c r="D168" s="296"/>
      <c r="E168" s="296"/>
      <c r="F168" s="296"/>
      <c r="G168" s="296"/>
      <c r="H168" s="296"/>
      <c r="I168" s="400">
        <f>J164+1</f>
        <v>65</v>
      </c>
      <c r="J168" s="296"/>
    </row>
    <row r="169" spans="1:12" ht="12" customHeight="1"/>
    <row r="170" spans="1:12" s="31" customFormat="1">
      <c r="A170" s="316" t="s">
        <v>511</v>
      </c>
      <c r="B170" s="317" t="s">
        <v>512</v>
      </c>
      <c r="C170" s="30"/>
      <c r="D170" s="30"/>
      <c r="E170" s="30"/>
      <c r="F170" s="30"/>
      <c r="G170" s="30"/>
      <c r="H170" s="30"/>
      <c r="I170" s="30"/>
      <c r="J170" s="30"/>
      <c r="K170" s="30"/>
      <c r="L170" s="30"/>
    </row>
    <row r="171" spans="1:12" s="48" customFormat="1" ht="12.6" customHeight="1">
      <c r="A171" s="318" t="s">
        <v>515</v>
      </c>
      <c r="B171" s="39" t="s">
        <v>513</v>
      </c>
      <c r="C171" s="37"/>
      <c r="D171" s="37"/>
      <c r="E171" s="37"/>
      <c r="F171" s="37"/>
      <c r="G171" s="37"/>
      <c r="H171" s="37"/>
      <c r="I171" s="37">
        <f>INT(IF($D$175="漢高皇帝受命四十有五歲",D29-Epochal.year,Years.Since.High.Origin)/元會)</f>
        <v>0</v>
      </c>
      <c r="J171" s="572">
        <f>MOD(IF(D175="漢高皇帝受命四十有五歲",D29-Epochal.year,Years.Since.High.Origin),元會)</f>
        <v>292</v>
      </c>
      <c r="K171" s="407" t="s">
        <v>839</v>
      </c>
      <c r="L171" s="563">
        <f>IF(D175="漢高皇帝受命四十有五歲",Epochal.year,High.origin.year)</f>
        <v>-160</v>
      </c>
    </row>
    <row r="172" spans="1:12" s="48" customFormat="1" ht="12.6" customHeight="1">
      <c r="A172" s="318"/>
      <c r="B172" s="39"/>
      <c r="C172" s="37"/>
      <c r="D172" s="37"/>
      <c r="E172" s="37"/>
      <c r="F172" s="37"/>
      <c r="G172" s="37"/>
      <c r="H172" s="37"/>
      <c r="I172" s="37"/>
      <c r="J172" s="572"/>
      <c r="K172" s="37"/>
      <c r="L172" s="37"/>
    </row>
    <row r="173" spans="1:12" s="48" customFormat="1" ht="28.95" customHeight="1">
      <c r="A173" s="318"/>
      <c r="B173" s="871" t="s">
        <v>790</v>
      </c>
      <c r="C173" s="871"/>
      <c r="D173" s="871"/>
      <c r="E173" s="871"/>
      <c r="F173" s="871"/>
      <c r="G173" s="871"/>
      <c r="H173" s="37"/>
      <c r="I173" s="37"/>
      <c r="J173" s="572"/>
      <c r="K173" s="37"/>
      <c r="L173" s="37"/>
    </row>
    <row r="174" spans="1:12" s="48" customFormat="1" ht="13.8" thickBot="1">
      <c r="A174" s="318"/>
      <c r="B174" s="564"/>
      <c r="C174" s="564"/>
      <c r="D174" s="564"/>
      <c r="E174" s="399"/>
      <c r="F174" s="399"/>
      <c r="G174" s="399"/>
      <c r="H174" s="37"/>
      <c r="I174" s="37"/>
      <c r="J174" s="572"/>
      <c r="K174" s="37"/>
      <c r="L174" s="37"/>
    </row>
    <row r="175" spans="1:12" s="48" customFormat="1" ht="13.8" thickBot="1">
      <c r="A175" s="318"/>
      <c r="B175" s="564"/>
      <c r="C175" s="20" t="s">
        <v>791</v>
      </c>
      <c r="D175" s="914" t="s">
        <v>792</v>
      </c>
      <c r="E175" s="915"/>
      <c r="F175" s="399"/>
      <c r="G175" s="399"/>
      <c r="H175" s="37"/>
      <c r="I175" s="37"/>
      <c r="J175" s="572"/>
      <c r="K175" s="37"/>
      <c r="L175" s="37"/>
    </row>
    <row r="176" spans="1:12" s="48" customFormat="1">
      <c r="A176" s="318"/>
      <c r="B176" s="564"/>
      <c r="C176" s="564"/>
      <c r="D176" s="564"/>
      <c r="E176" s="399"/>
      <c r="F176" s="399"/>
      <c r="G176" s="399"/>
      <c r="H176" s="37"/>
      <c r="I176" s="37"/>
      <c r="J176" s="572"/>
      <c r="K176" s="37"/>
      <c r="L176" s="37"/>
    </row>
    <row r="177" spans="1:13" s="48" customFormat="1">
      <c r="A177" s="318"/>
      <c r="B177" s="281" t="s">
        <v>1040</v>
      </c>
      <c r="C177" s="564"/>
      <c r="D177" s="564"/>
      <c r="E177" s="399"/>
      <c r="F177" s="399"/>
      <c r="G177" s="399"/>
      <c r="H177" s="37"/>
      <c r="I177" s="37"/>
      <c r="J177" s="572"/>
      <c r="K177" s="37"/>
      <c r="L177" s="37"/>
    </row>
    <row r="178" spans="1:13" s="48" customFormat="1">
      <c r="A178" s="318"/>
      <c r="B178" s="564"/>
      <c r="C178" s="564"/>
      <c r="D178" s="564"/>
      <c r="E178" s="399"/>
      <c r="F178" s="399"/>
      <c r="G178" s="399"/>
      <c r="H178" s="37"/>
      <c r="I178" s="37"/>
      <c r="J178" s="572"/>
      <c r="K178" s="37"/>
      <c r="L178" s="37"/>
    </row>
    <row r="179" spans="1:13" s="48" customFormat="1" ht="12" customHeight="1">
      <c r="A179" s="32"/>
      <c r="B179" s="573"/>
      <c r="C179" s="37"/>
      <c r="D179" s="37"/>
      <c r="E179" s="37"/>
      <c r="F179" s="37"/>
      <c r="G179" s="37"/>
      <c r="H179" s="574"/>
      <c r="I179" s="573"/>
      <c r="J179" s="37"/>
      <c r="K179" s="37"/>
      <c r="L179" s="37"/>
    </row>
    <row r="180" spans="1:13" s="48" customFormat="1" ht="12" customHeight="1">
      <c r="A180" s="32"/>
      <c r="B180" s="39" t="s">
        <v>516</v>
      </c>
      <c r="C180" s="39"/>
      <c r="D180" s="39"/>
      <c r="E180" s="39"/>
      <c r="F180" s="39"/>
      <c r="G180" s="39"/>
      <c r="H180" s="37"/>
      <c r="I180" s="37">
        <f>INT(J171/蔀會)</f>
        <v>0</v>
      </c>
      <c r="J180" s="572">
        <f>MOD(J171,蔀會)</f>
        <v>292</v>
      </c>
      <c r="K180" s="407" t="s">
        <v>840</v>
      </c>
      <c r="L180" s="563">
        <f>I180*蔀會+L171</f>
        <v>-160</v>
      </c>
    </row>
    <row r="181" spans="1:13" s="48" customFormat="1" ht="12" customHeight="1">
      <c r="A181" s="32"/>
      <c r="B181" s="573"/>
      <c r="C181" s="37"/>
      <c r="D181" s="37"/>
      <c r="E181" s="37"/>
      <c r="F181" s="37"/>
      <c r="G181" s="37"/>
      <c r="H181" s="574"/>
      <c r="I181" s="37"/>
      <c r="J181" s="37"/>
      <c r="K181" s="37"/>
      <c r="L181" s="37"/>
    </row>
    <row r="182" spans="1:13" s="48" customFormat="1" ht="12" customHeight="1">
      <c r="A182" s="32"/>
      <c r="B182" s="49" t="s">
        <v>517</v>
      </c>
      <c r="C182" s="49"/>
      <c r="D182" s="49"/>
      <c r="E182" s="49"/>
      <c r="F182" s="49"/>
      <c r="G182" s="49"/>
      <c r="H182" s="37"/>
      <c r="I182" s="37">
        <f>I180*27</f>
        <v>0</v>
      </c>
      <c r="J182" s="572"/>
      <c r="K182" s="15"/>
      <c r="L182" s="15"/>
      <c r="M182" s="15"/>
    </row>
    <row r="183" spans="1:13" s="48" customFormat="1" ht="12" customHeight="1">
      <c r="A183" s="32"/>
      <c r="B183" s="49" t="s">
        <v>518</v>
      </c>
      <c r="C183" s="49"/>
      <c r="D183" s="49"/>
      <c r="E183" s="49"/>
      <c r="F183" s="49"/>
      <c r="G183" s="49"/>
      <c r="H183" s="37"/>
      <c r="I183" s="37">
        <f>INT(I182/60)</f>
        <v>0</v>
      </c>
      <c r="J183" s="572">
        <f>MOD(I182,60)</f>
        <v>0</v>
      </c>
      <c r="K183" s="15"/>
      <c r="L183" s="15"/>
      <c r="M183" s="15"/>
    </row>
    <row r="184" spans="1:13" s="48" customFormat="1" ht="12" customHeight="1">
      <c r="A184" s="32"/>
      <c r="B184" s="49" t="s">
        <v>519</v>
      </c>
      <c r="C184" s="49"/>
      <c r="D184" s="49"/>
      <c r="E184" s="49"/>
      <c r="F184" s="49"/>
      <c r="G184" s="49"/>
      <c r="H184" s="37"/>
      <c r="I184" s="37">
        <f>INT(J183/20)</f>
        <v>0</v>
      </c>
      <c r="J184" s="572">
        <f>MOD(J183,60)</f>
        <v>0</v>
      </c>
      <c r="K184" s="15"/>
      <c r="L184" s="15"/>
      <c r="M184" s="15"/>
    </row>
    <row r="185" spans="1:13" s="48" customFormat="1" ht="12" customHeight="1">
      <c r="A185" s="32"/>
      <c r="B185" s="49"/>
      <c r="C185" s="49"/>
      <c r="D185" s="49"/>
      <c r="E185" s="49"/>
      <c r="F185" s="49"/>
      <c r="G185" s="49"/>
      <c r="H185" s="37"/>
      <c r="I185" s="37"/>
      <c r="J185" s="572"/>
      <c r="K185" s="15"/>
      <c r="L185" s="15"/>
      <c r="M185" s="15"/>
    </row>
    <row r="186" spans="1:13" s="48" customFormat="1" ht="12" customHeight="1">
      <c r="A186" s="32"/>
      <c r="B186" s="39" t="s">
        <v>520</v>
      </c>
      <c r="C186" s="37"/>
      <c r="D186" s="37"/>
      <c r="E186" s="37"/>
      <c r="F186" s="37"/>
      <c r="G186" s="37"/>
      <c r="H186" s="37"/>
      <c r="I186" s="320" t="str">
        <f>CHOOSE(I184+1,"天","地","人")</f>
        <v>天</v>
      </c>
      <c r="J186" s="37"/>
      <c r="K186" s="37"/>
      <c r="L186" s="37"/>
    </row>
    <row r="187" spans="1:13" s="48" customFormat="1" ht="12" customHeight="1">
      <c r="A187" s="32"/>
      <c r="B187" s="573" t="s">
        <v>521</v>
      </c>
      <c r="C187" s="37"/>
      <c r="D187" s="37"/>
      <c r="E187" s="37"/>
      <c r="F187" s="37"/>
      <c r="G187" s="37"/>
      <c r="H187" s="37"/>
      <c r="I187" s="320" t="str">
        <f>CONCATENATE(CHOOSE(MOD(J187,10)+1,"癸","甲","乙","丙","丁","戊","己","庚","辛","壬"),(CHOOSE(MOD(J187,12)+1,"亥","子","丑","寅","卯","辰","巳","午","未","申","酉","戌")))</f>
        <v>甲子</v>
      </c>
      <c r="J187" s="572">
        <f>J184+1</f>
        <v>1</v>
      </c>
      <c r="K187" s="37"/>
      <c r="L187" s="37"/>
    </row>
    <row r="188" spans="1:13" s="48" customFormat="1" ht="12" customHeight="1">
      <c r="A188" s="32"/>
      <c r="B188" s="573"/>
      <c r="C188" s="37"/>
      <c r="D188" s="37"/>
      <c r="E188" s="37"/>
      <c r="F188" s="37"/>
      <c r="G188" s="37"/>
      <c r="H188" s="37"/>
      <c r="I188" s="37"/>
      <c r="J188" s="37"/>
      <c r="K188" s="37"/>
      <c r="L188" s="37"/>
    </row>
    <row r="189" spans="1:13" s="48" customFormat="1" ht="12" customHeight="1">
      <c r="A189" s="32"/>
      <c r="B189" s="42" t="s">
        <v>522</v>
      </c>
      <c r="C189" s="269"/>
      <c r="D189" s="269"/>
      <c r="E189" s="269"/>
      <c r="F189" s="269"/>
      <c r="G189" s="269"/>
      <c r="H189" s="37"/>
      <c r="I189" s="37">
        <f>J180</f>
        <v>292</v>
      </c>
      <c r="J189" s="37"/>
      <c r="K189" s="37"/>
      <c r="L189" s="37"/>
    </row>
    <row r="190" spans="1:13" ht="12" customHeight="1">
      <c r="B190" t="s">
        <v>523</v>
      </c>
      <c r="H190" s="321" t="s">
        <v>745</v>
      </c>
      <c r="I190" s="321" t="str">
        <f>IF(I186="天",Tables!AA4,IF(I186="地",Tables!AC4,Tables!AE4))</f>
        <v>庚辰</v>
      </c>
      <c r="J190" s="572">
        <f>IF(I186="天",Tables!AB4,IF(I186="地",Tables!AD4,Tables!AF4))</f>
        <v>17</v>
      </c>
    </row>
    <row r="191" spans="1:13" ht="12" customHeight="1">
      <c r="H191" s="321" t="s">
        <v>834</v>
      </c>
      <c r="I191" s="620" t="str">
        <f>CONCATENATE(CHOOSE(MOD(J191,10)+1,"癸","甲","乙","丙","丁","戊","己","庚","辛","壬"),(CHOOSE(MOD(J191,12)+1,"亥","子","丑","寅","卯","辰","巳","午","未","申","酉","戌")))</f>
        <v>壬申</v>
      </c>
      <c r="J191" s="621">
        <f>MOD(J190-1+入蔀會年,60)+1</f>
        <v>9</v>
      </c>
    </row>
    <row r="192" spans="1:13" ht="12" customHeight="1">
      <c r="F192" s="399"/>
      <c r="G192" s="399"/>
      <c r="H192" s="583" t="s">
        <v>835</v>
      </c>
      <c r="I192" s="583" t="str">
        <f>CONCATENATE(CHOOSE(MOD(J192,10)+1,"癸","甲","乙","丙","丁","戊","己","庚","辛","壬"),(CHOOSE(MOD(J192,12)+1,"亥","子","丑","寅","卯","辰","巳","午","未","申","酉","戌")))</f>
        <v>壬申</v>
      </c>
      <c r="J192" s="622">
        <f>E31</f>
        <v>9</v>
      </c>
    </row>
    <row r="193" spans="1:12" s="48" customFormat="1" ht="12" customHeight="1">
      <c r="A193" s="32"/>
      <c r="B193" s="41"/>
      <c r="C193" s="269"/>
      <c r="D193" s="269"/>
      <c r="E193" s="269"/>
      <c r="F193" s="269"/>
      <c r="G193" s="269"/>
      <c r="H193" s="37"/>
      <c r="I193" s="37"/>
      <c r="J193" s="37"/>
      <c r="K193" s="37"/>
      <c r="L193" s="37"/>
    </row>
    <row r="194" spans="1:12" s="26" customFormat="1" ht="12" customHeight="1">
      <c r="A194" s="43"/>
      <c r="B194" s="44"/>
      <c r="C194" s="359" t="s">
        <v>543</v>
      </c>
      <c r="D194" s="359" t="s">
        <v>28</v>
      </c>
      <c r="E194" s="359" t="s">
        <v>29</v>
      </c>
      <c r="F194" s="359" t="s">
        <v>30</v>
      </c>
      <c r="G194" s="34"/>
      <c r="H194" s="34"/>
      <c r="I194" s="35"/>
      <c r="J194" s="35"/>
      <c r="K194" s="35"/>
      <c r="L194" s="35"/>
    </row>
    <row r="195" spans="1:12" s="26" customFormat="1" ht="12" customHeight="1">
      <c r="A195" s="24"/>
      <c r="B195" s="25">
        <v>1</v>
      </c>
      <c r="C195" s="358" t="s">
        <v>31</v>
      </c>
      <c r="D195" s="358" t="s">
        <v>32</v>
      </c>
      <c r="E195" s="358" t="s">
        <v>33</v>
      </c>
      <c r="F195" s="358" t="s">
        <v>34</v>
      </c>
      <c r="G195" s="25"/>
      <c r="H195" s="25"/>
    </row>
    <row r="196" spans="1:12" s="26" customFormat="1" ht="12" customHeight="1">
      <c r="A196" s="24"/>
      <c r="B196" s="25">
        <f t="shared" ref="B196:B214" si="3">B195+1</f>
        <v>2</v>
      </c>
      <c r="C196" s="358" t="s">
        <v>35</v>
      </c>
      <c r="D196" s="358" t="s">
        <v>36</v>
      </c>
      <c r="E196" s="358" t="s">
        <v>37</v>
      </c>
      <c r="F196" s="358" t="s">
        <v>38</v>
      </c>
      <c r="G196" s="25"/>
      <c r="H196" s="25"/>
    </row>
    <row r="197" spans="1:12" s="26" customFormat="1" ht="12" customHeight="1">
      <c r="A197" s="24"/>
      <c r="B197" s="25">
        <f t="shared" si="3"/>
        <v>3</v>
      </c>
      <c r="C197" s="358" t="s">
        <v>39</v>
      </c>
      <c r="D197" s="358" t="s">
        <v>40</v>
      </c>
      <c r="E197" s="358" t="s">
        <v>41</v>
      </c>
      <c r="F197" s="358" t="s">
        <v>42</v>
      </c>
      <c r="G197" s="25"/>
      <c r="H197" s="25"/>
    </row>
    <row r="198" spans="1:12" s="26" customFormat="1" ht="12" customHeight="1">
      <c r="A198" s="24"/>
      <c r="B198" s="25">
        <f t="shared" si="3"/>
        <v>4</v>
      </c>
      <c r="C198" s="358" t="s">
        <v>43</v>
      </c>
      <c r="D198" s="358" t="s">
        <v>44</v>
      </c>
      <c r="E198" s="358" t="s">
        <v>45</v>
      </c>
      <c r="F198" s="358" t="s">
        <v>46</v>
      </c>
      <c r="G198" s="25"/>
      <c r="H198" s="25"/>
    </row>
    <row r="199" spans="1:12" s="26" customFormat="1" ht="12" customHeight="1">
      <c r="A199" s="24"/>
      <c r="B199" s="25">
        <f t="shared" si="3"/>
        <v>5</v>
      </c>
      <c r="C199" s="358" t="s">
        <v>47</v>
      </c>
      <c r="D199" s="358" t="s">
        <v>48</v>
      </c>
      <c r="E199" s="358" t="s">
        <v>34</v>
      </c>
      <c r="F199" s="358" t="s">
        <v>32</v>
      </c>
      <c r="G199" s="25"/>
      <c r="H199" s="25"/>
    </row>
    <row r="200" spans="1:12" s="26" customFormat="1" ht="12" customHeight="1">
      <c r="A200" s="24"/>
      <c r="B200" s="25">
        <f t="shared" si="3"/>
        <v>6</v>
      </c>
      <c r="C200" s="358" t="s">
        <v>32</v>
      </c>
      <c r="D200" s="358" t="s">
        <v>33</v>
      </c>
      <c r="E200" s="358" t="s">
        <v>31</v>
      </c>
      <c r="F200" s="358" t="s">
        <v>49</v>
      </c>
      <c r="G200" s="25"/>
      <c r="H200" s="25"/>
    </row>
    <row r="201" spans="1:12" s="26" customFormat="1" ht="12" customHeight="1">
      <c r="A201" s="24"/>
      <c r="B201" s="25">
        <f t="shared" si="3"/>
        <v>7</v>
      </c>
      <c r="C201" s="358" t="s">
        <v>36</v>
      </c>
      <c r="D201" s="358" t="s">
        <v>37</v>
      </c>
      <c r="E201" s="358" t="s">
        <v>35</v>
      </c>
      <c r="F201" s="358" t="s">
        <v>50</v>
      </c>
      <c r="G201" s="25"/>
      <c r="H201" s="25"/>
    </row>
    <row r="202" spans="1:12" s="26" customFormat="1" ht="12" customHeight="1">
      <c r="A202" s="24"/>
      <c r="B202" s="25">
        <f t="shared" si="3"/>
        <v>8</v>
      </c>
      <c r="C202" s="358" t="s">
        <v>40</v>
      </c>
      <c r="D202" s="358" t="s">
        <v>41</v>
      </c>
      <c r="E202" s="358" t="s">
        <v>39</v>
      </c>
      <c r="F202" s="358" t="s">
        <v>51</v>
      </c>
      <c r="G202" s="25"/>
      <c r="H202" s="25"/>
    </row>
    <row r="203" spans="1:12" s="26" customFormat="1" ht="12" customHeight="1">
      <c r="A203" s="24"/>
      <c r="B203" s="25">
        <f t="shared" si="3"/>
        <v>9</v>
      </c>
      <c r="C203" s="358" t="s">
        <v>44</v>
      </c>
      <c r="D203" s="358" t="s">
        <v>45</v>
      </c>
      <c r="E203" s="358" t="s">
        <v>43</v>
      </c>
      <c r="F203" s="358" t="s">
        <v>37</v>
      </c>
      <c r="G203" s="25"/>
      <c r="H203" s="25"/>
    </row>
    <row r="204" spans="1:12" s="26" customFormat="1" ht="12" customHeight="1">
      <c r="A204" s="24"/>
      <c r="B204" s="25">
        <f t="shared" si="3"/>
        <v>10</v>
      </c>
      <c r="C204" s="358" t="s">
        <v>48</v>
      </c>
      <c r="D204" s="358" t="s">
        <v>34</v>
      </c>
      <c r="E204" s="358" t="s">
        <v>47</v>
      </c>
      <c r="F204" s="358" t="s">
        <v>52</v>
      </c>
      <c r="G204" s="25"/>
      <c r="H204" s="25"/>
    </row>
    <row r="205" spans="1:12" s="26" customFormat="1" ht="12" customHeight="1">
      <c r="A205" s="24"/>
      <c r="B205" s="25">
        <f t="shared" si="3"/>
        <v>11</v>
      </c>
      <c r="C205" s="358" t="s">
        <v>33</v>
      </c>
      <c r="D205" s="358" t="s">
        <v>31</v>
      </c>
      <c r="E205" s="358" t="s">
        <v>32</v>
      </c>
      <c r="F205" s="358" t="s">
        <v>53</v>
      </c>
      <c r="G205" s="25"/>
      <c r="H205" s="25"/>
    </row>
    <row r="206" spans="1:12" s="26" customFormat="1" ht="12" customHeight="1">
      <c r="A206" s="24"/>
      <c r="B206" s="25">
        <f t="shared" si="3"/>
        <v>12</v>
      </c>
      <c r="C206" s="358" t="s">
        <v>37</v>
      </c>
      <c r="D206" s="358" t="s">
        <v>35</v>
      </c>
      <c r="E206" s="358" t="s">
        <v>36</v>
      </c>
      <c r="F206" s="358" t="s">
        <v>54</v>
      </c>
      <c r="G206" s="25"/>
      <c r="H206" s="25"/>
    </row>
    <row r="207" spans="1:12" s="26" customFormat="1" ht="12" customHeight="1">
      <c r="A207" s="24"/>
      <c r="B207" s="25">
        <f t="shared" si="3"/>
        <v>13</v>
      </c>
      <c r="C207" s="358" t="s">
        <v>41</v>
      </c>
      <c r="D207" s="358" t="s">
        <v>39</v>
      </c>
      <c r="E207" s="358" t="s">
        <v>40</v>
      </c>
      <c r="F207" s="358" t="s">
        <v>39</v>
      </c>
      <c r="G207" s="25"/>
      <c r="H207" s="25"/>
    </row>
    <row r="208" spans="1:12" s="26" customFormat="1" ht="12" customHeight="1">
      <c r="A208" s="24"/>
      <c r="B208" s="25">
        <f t="shared" si="3"/>
        <v>14</v>
      </c>
      <c r="C208" s="358" t="s">
        <v>45</v>
      </c>
      <c r="D208" s="358" t="s">
        <v>43</v>
      </c>
      <c r="E208" s="358" t="s">
        <v>44</v>
      </c>
      <c r="F208" s="358" t="s">
        <v>55</v>
      </c>
      <c r="G208" s="25"/>
      <c r="H208" s="25"/>
    </row>
    <row r="209" spans="1:12" s="26" customFormat="1" ht="12" customHeight="1">
      <c r="A209" s="24"/>
      <c r="B209" s="25">
        <f t="shared" si="3"/>
        <v>15</v>
      </c>
      <c r="C209" s="358" t="s">
        <v>34</v>
      </c>
      <c r="D209" s="358" t="s">
        <v>47</v>
      </c>
      <c r="E209" s="358" t="s">
        <v>48</v>
      </c>
      <c r="F209" s="358" t="s">
        <v>56</v>
      </c>
      <c r="G209" s="25"/>
      <c r="H209" s="25"/>
    </row>
    <row r="210" spans="1:12" s="26" customFormat="1" ht="12" customHeight="1">
      <c r="A210" s="45"/>
      <c r="B210" s="25">
        <f t="shared" si="3"/>
        <v>16</v>
      </c>
      <c r="C210" s="358" t="s">
        <v>31</v>
      </c>
      <c r="D210" s="358" t="s">
        <v>32</v>
      </c>
      <c r="E210" s="358" t="s">
        <v>33</v>
      </c>
      <c r="F210" s="358" t="s">
        <v>544</v>
      </c>
      <c r="G210" s="25" t="s">
        <v>57</v>
      </c>
      <c r="H210" s="25"/>
    </row>
    <row r="211" spans="1:12" s="26" customFormat="1" ht="12" customHeight="1">
      <c r="A211" s="45"/>
      <c r="B211" s="25">
        <f t="shared" si="3"/>
        <v>17</v>
      </c>
      <c r="C211" s="358" t="s">
        <v>35</v>
      </c>
      <c r="D211" s="358" t="s">
        <v>36</v>
      </c>
      <c r="E211" s="358" t="s">
        <v>37</v>
      </c>
      <c r="F211" s="358" t="s">
        <v>44</v>
      </c>
      <c r="G211" s="25"/>
      <c r="H211" s="25"/>
    </row>
    <row r="212" spans="1:12" s="26" customFormat="1" ht="12" customHeight="1">
      <c r="A212" s="45"/>
      <c r="B212" s="25">
        <f t="shared" si="3"/>
        <v>18</v>
      </c>
      <c r="C212" s="358" t="s">
        <v>39</v>
      </c>
      <c r="D212" s="358" t="s">
        <v>40</v>
      </c>
      <c r="E212" s="358" t="s">
        <v>41</v>
      </c>
      <c r="F212" s="358" t="s">
        <v>58</v>
      </c>
      <c r="G212" s="25"/>
      <c r="H212" s="25"/>
    </row>
    <row r="213" spans="1:12" s="26" customFormat="1" ht="12" customHeight="1">
      <c r="A213" s="45"/>
      <c r="B213" s="25">
        <f t="shared" si="3"/>
        <v>19</v>
      </c>
      <c r="C213" s="358" t="s">
        <v>43</v>
      </c>
      <c r="D213" s="358" t="s">
        <v>44</v>
      </c>
      <c r="E213" s="358" t="s">
        <v>45</v>
      </c>
      <c r="F213" s="358" t="s">
        <v>59</v>
      </c>
      <c r="G213" s="25"/>
      <c r="H213" s="25"/>
    </row>
    <row r="214" spans="1:12" s="26" customFormat="1" ht="12" customHeight="1">
      <c r="A214" s="45"/>
      <c r="B214" s="25">
        <f t="shared" si="3"/>
        <v>20</v>
      </c>
      <c r="C214" s="358" t="s">
        <v>47</v>
      </c>
      <c r="D214" s="358" t="s">
        <v>48</v>
      </c>
      <c r="E214" s="358" t="s">
        <v>34</v>
      </c>
      <c r="F214" s="358" t="s">
        <v>60</v>
      </c>
      <c r="G214" s="25"/>
      <c r="H214" s="25"/>
    </row>
    <row r="215" spans="1:12" s="26" customFormat="1" ht="12" customHeight="1">
      <c r="A215" s="45"/>
      <c r="B215" s="25"/>
      <c r="C215" s="25"/>
      <c r="D215" s="25"/>
      <c r="E215" s="25"/>
      <c r="F215" s="25"/>
      <c r="G215" s="25"/>
      <c r="H215" s="25"/>
    </row>
    <row r="216" spans="1:12" s="31" customFormat="1" ht="12" customHeight="1">
      <c r="A216" s="316" t="s">
        <v>26</v>
      </c>
      <c r="B216" s="317" t="s">
        <v>524</v>
      </c>
      <c r="C216" s="30"/>
      <c r="D216" s="30"/>
      <c r="E216" s="30"/>
      <c r="F216" s="30"/>
      <c r="G216" s="30"/>
      <c r="H216" s="30"/>
      <c r="I216" s="30"/>
      <c r="J216" s="30"/>
      <c r="K216" s="30"/>
      <c r="L216" s="30"/>
    </row>
    <row r="217" spans="1:12" s="26" customFormat="1" ht="12" customHeight="1">
      <c r="A217" s="344" t="s">
        <v>530</v>
      </c>
      <c r="B217" s="33" t="s">
        <v>525</v>
      </c>
      <c r="C217" s="34"/>
      <c r="D217" s="34"/>
      <c r="E217" s="34"/>
      <c r="F217" s="34"/>
      <c r="G217" s="34"/>
      <c r="H217" s="34"/>
      <c r="I217" s="34">
        <f>入蔀年-1</f>
        <v>64</v>
      </c>
      <c r="J217" s="319"/>
      <c r="K217" s="34"/>
      <c r="L217" s="34"/>
    </row>
    <row r="218" spans="1:12" s="26" customFormat="1" ht="12" customHeight="1">
      <c r="A218"/>
      <c r="B218"/>
      <c r="C218"/>
      <c r="D218"/>
      <c r="E218"/>
      <c r="F218"/>
      <c r="G218"/>
      <c r="H218"/>
      <c r="I218" s="34"/>
      <c r="J218" s="319"/>
    </row>
    <row r="219" spans="1:12" s="26" customFormat="1" ht="12" customHeight="1">
      <c r="A219" s="47"/>
      <c r="B219" s="46" t="s">
        <v>526</v>
      </c>
      <c r="C219" s="48"/>
      <c r="D219" s="48"/>
      <c r="E219" s="48"/>
      <c r="F219" s="48"/>
      <c r="G219" s="48"/>
      <c r="H219"/>
      <c r="I219" s="34">
        <f>I217*章月</f>
        <v>15040</v>
      </c>
      <c r="J219" s="319"/>
    </row>
    <row r="220" spans="1:12" s="26" customFormat="1" ht="12" customHeight="1">
      <c r="A220" s="47"/>
      <c r="B220" s="49" t="s">
        <v>527</v>
      </c>
      <c r="C220" s="48"/>
      <c r="D220" s="48"/>
      <c r="E220" s="48"/>
      <c r="F220" s="48"/>
      <c r="G220" s="48"/>
      <c r="H220"/>
      <c r="I220" s="34">
        <f>INT(I219/章法)</f>
        <v>791</v>
      </c>
      <c r="J220" s="319">
        <f>MOD(I219,章法)</f>
        <v>11</v>
      </c>
    </row>
    <row r="221" spans="1:12" s="26" customFormat="1" ht="12" customHeight="1">
      <c r="A221" s="47"/>
      <c r="B221" s="49"/>
      <c r="C221" s="48"/>
      <c r="D221" s="48"/>
      <c r="E221" s="48"/>
      <c r="F221" s="48"/>
      <c r="G221" s="48"/>
      <c r="H221"/>
      <c r="I221" s="34"/>
      <c r="J221" s="319"/>
    </row>
    <row r="222" spans="1:12" s="26" customFormat="1" ht="12" customHeight="1">
      <c r="A222" s="47"/>
      <c r="B222" s="46" t="s">
        <v>528</v>
      </c>
      <c r="C222" s="48"/>
      <c r="D222" s="48"/>
      <c r="E222" s="48"/>
      <c r="F222" s="48"/>
      <c r="G222" s="48"/>
      <c r="H222"/>
      <c r="I222" s="271" t="b">
        <f>閏餘&gt;=12</f>
        <v>0</v>
      </c>
    </row>
    <row r="223" spans="1:12" s="26" customFormat="1" ht="12" customHeight="1">
      <c r="A223" s="47"/>
      <c r="B223" s="48"/>
      <c r="C223" s="48"/>
      <c r="D223" s="48"/>
      <c r="E223" s="48"/>
      <c r="F223" s="48"/>
      <c r="G223" s="48"/>
      <c r="H223" s="48"/>
      <c r="I223"/>
      <c r="J223"/>
    </row>
    <row r="224" spans="1:12" s="31" customFormat="1" ht="12" customHeight="1">
      <c r="A224" s="345" t="s">
        <v>27</v>
      </c>
      <c r="B224" s="346" t="s">
        <v>529</v>
      </c>
    </row>
    <row r="225" spans="1:13" s="26" customFormat="1" ht="12" customHeight="1">
      <c r="A225" s="344" t="s">
        <v>531</v>
      </c>
      <c r="B225" s="46" t="s">
        <v>532</v>
      </c>
      <c r="C225" s="48"/>
      <c r="D225" s="48"/>
      <c r="E225" s="48"/>
      <c r="F225" s="48"/>
      <c r="G225" s="48"/>
      <c r="H225" s="48"/>
      <c r="I225" s="48">
        <f>積月</f>
        <v>791</v>
      </c>
    </row>
    <row r="226" spans="1:13" ht="12" customHeight="1"/>
    <row r="227" spans="1:13" s="26" customFormat="1" ht="12" customHeight="1">
      <c r="A227" s="47"/>
      <c r="B227" s="48" t="s">
        <v>533</v>
      </c>
      <c r="C227" s="48"/>
      <c r="D227" s="48"/>
      <c r="E227" s="48"/>
      <c r="F227" s="48"/>
      <c r="G227" s="48"/>
      <c r="H227" s="48"/>
      <c r="I227" s="48">
        <f>I225*蔀日</f>
        <v>21957369</v>
      </c>
    </row>
    <row r="228" spans="1:13" s="26" customFormat="1" ht="12" customHeight="1">
      <c r="A228" s="47"/>
      <c r="B228" s="48" t="s">
        <v>534</v>
      </c>
      <c r="C228" s="48"/>
      <c r="D228" s="48"/>
      <c r="E228" s="48"/>
      <c r="F228" s="48"/>
      <c r="G228"/>
      <c r="H228" s="48"/>
      <c r="I228" s="34">
        <f>INT(I227/蔀月)</f>
        <v>23358</v>
      </c>
      <c r="J228" s="319">
        <f>MOD(I227,蔀月)</f>
        <v>849</v>
      </c>
    </row>
    <row r="229" spans="1:13" s="26" customFormat="1" ht="12" customHeight="1">
      <c r="A229" s="47"/>
      <c r="B229" s="48"/>
      <c r="C229" s="48"/>
      <c r="D229" s="48"/>
      <c r="E229" s="48"/>
      <c r="F229" s="48"/>
      <c r="G229"/>
      <c r="H229" s="48"/>
      <c r="I229" s="34"/>
      <c r="J229" s="319"/>
    </row>
    <row r="230" spans="1:13" s="26" customFormat="1" ht="12" customHeight="1">
      <c r="A230" s="47"/>
      <c r="B230" s="49" t="s">
        <v>535</v>
      </c>
      <c r="C230" s="48"/>
      <c r="D230" s="48"/>
      <c r="E230" s="48"/>
      <c r="F230" s="48"/>
      <c r="G230" s="48"/>
      <c r="H230" s="48"/>
      <c r="I230">
        <f>MOD(積日,60)</f>
        <v>18</v>
      </c>
      <c r="J230"/>
    </row>
    <row r="231" spans="1:13" s="26" customFormat="1" ht="12" customHeight="1">
      <c r="A231"/>
      <c r="B231"/>
      <c r="C231" s="48"/>
      <c r="D231" s="48"/>
      <c r="E231" s="48"/>
      <c r="F231" s="48"/>
      <c r="G231" s="48"/>
      <c r="H231" s="48"/>
      <c r="I231"/>
      <c r="J231"/>
      <c r="K231"/>
    </row>
    <row r="232" spans="1:13" s="26" customFormat="1" ht="12" customHeight="1">
      <c r="A232" s="47"/>
      <c r="B232" s="49" t="s">
        <v>536</v>
      </c>
      <c r="C232" s="48"/>
      <c r="D232" s="48"/>
      <c r="E232" s="48"/>
      <c r="F232" s="48"/>
      <c r="G232" s="48"/>
      <c r="H232" s="48"/>
      <c r="I232" s="320" t="str">
        <f>CONCATENATE(CHOOSE(MOD(J232,10)+1,"癸","甲","乙","丙","丁","戊","己","庚","辛","壬"),(CHOOSE(MOD(J232,12)+1,"亥","子","丑","寅","卯","辰","巳","午","未","申","酉","戌")))</f>
        <v>己卯</v>
      </c>
      <c r="J232" s="319">
        <f>MOD(大餘+蔀名-1,60)+1</f>
        <v>16</v>
      </c>
    </row>
    <row r="233" spans="1:13" s="26" customFormat="1" ht="12" customHeight="1">
      <c r="A233" s="47"/>
      <c r="B233" s="48"/>
      <c r="C233" s="48"/>
      <c r="D233" s="48"/>
      <c r="E233" s="48"/>
      <c r="F233" s="48"/>
      <c r="G233" s="48"/>
      <c r="H233" s="48"/>
      <c r="I233" s="48"/>
      <c r="J233"/>
    </row>
    <row r="234" spans="1:13" ht="12" customHeight="1">
      <c r="B234" t="s">
        <v>537</v>
      </c>
      <c r="I234" s="321" t="b">
        <f>積日小餘&gt;=441</f>
        <v>1</v>
      </c>
    </row>
    <row r="235" spans="1:13" ht="12" customHeight="1"/>
    <row r="236" spans="1:13" ht="12" customHeight="1">
      <c r="B236" t="s">
        <v>538</v>
      </c>
    </row>
    <row r="237" spans="1:13" ht="12" customHeight="1"/>
    <row r="238" spans="1:13" s="26" customFormat="1" ht="12" customHeight="1">
      <c r="A238" s="47"/>
      <c r="B238" s="476" t="s">
        <v>114</v>
      </c>
      <c r="C238" s="477" t="s">
        <v>539</v>
      </c>
      <c r="D238" s="478" t="s">
        <v>100</v>
      </c>
      <c r="E238" s="479" t="s">
        <v>101</v>
      </c>
      <c r="F238" s="479"/>
      <c r="G238" s="477" t="s">
        <v>540</v>
      </c>
      <c r="H238" s="480"/>
      <c r="I238" s="481" t="s">
        <v>541</v>
      </c>
      <c r="J238" s="48"/>
      <c r="K238" s="209" t="s">
        <v>1104</v>
      </c>
      <c r="M238" s="48"/>
    </row>
    <row r="239" spans="1:13" ht="12" customHeight="1">
      <c r="B239" s="482">
        <v>1</v>
      </c>
      <c r="C239" s="348" t="s">
        <v>61</v>
      </c>
      <c r="D239" s="349">
        <f>大餘</f>
        <v>18</v>
      </c>
      <c r="E239" s="350">
        <f>積日小餘</f>
        <v>849</v>
      </c>
      <c r="F239" s="351"/>
      <c r="G239" s="348" t="str">
        <f>I232</f>
        <v>己卯</v>
      </c>
      <c r="H239" s="352">
        <f>J232</f>
        <v>16</v>
      </c>
      <c r="I239" s="483" t="str">
        <f>IF(E239&gt;=441,"大","小")</f>
        <v>大</v>
      </c>
      <c r="K239">
        <f>INT(INT(J161*紀月/紀法)*mean_lunation)</f>
        <v>106635</v>
      </c>
    </row>
    <row r="240" spans="1:13" ht="12" customHeight="1">
      <c r="B240" s="484">
        <f t="shared" ref="B240:B253" si="4">B239+1</f>
        <v>2</v>
      </c>
      <c r="C240" s="353" t="s">
        <v>62</v>
      </c>
      <c r="D240" s="354">
        <f t="shared" ref="D240:D251" si="5">MOD(INT(D239+29+(E239+499)/蔀月),60)</f>
        <v>48</v>
      </c>
      <c r="E240" s="355">
        <f t="shared" ref="E240:E253" si="6">MOD(E239+499,蔀月)</f>
        <v>408</v>
      </c>
      <c r="F240" s="356" t="str">
        <f t="shared" ref="F240:F251" si="7">IF(E239+499&gt;蔀月,"+1","")</f>
        <v>+1</v>
      </c>
      <c r="G240" s="353" t="str">
        <f t="shared" ref="G240:G251" si="8">CONCATENATE(CHOOSE(MOD(H240,10)+1,"癸","甲","乙","丙","丁","戊","己","庚","辛","壬"),(CHOOSE(MOD(H240,12)+1,"亥","子","丑","寅","卯","辰","巳","午","未","申","酉","戌")))</f>
        <v>己酉</v>
      </c>
      <c r="H240" s="357">
        <f>MOD(H239+29+IF(F240="+1",1,0)-1,60)+1</f>
        <v>46</v>
      </c>
      <c r="I240" s="485" t="str">
        <f>IF(E240&gt;=441,"大","小")</f>
        <v>小</v>
      </c>
      <c r="K240">
        <f>K239+IF(I239="大",30,29)</f>
        <v>106665</v>
      </c>
    </row>
    <row r="241" spans="1:11" ht="12" customHeight="1">
      <c r="B241" s="484">
        <f t="shared" si="4"/>
        <v>3</v>
      </c>
      <c r="C241" s="353" t="s">
        <v>63</v>
      </c>
      <c r="D241" s="354">
        <f t="shared" si="5"/>
        <v>17</v>
      </c>
      <c r="E241" s="355">
        <f t="shared" si="6"/>
        <v>907</v>
      </c>
      <c r="F241" s="356" t="str">
        <f t="shared" si="7"/>
        <v/>
      </c>
      <c r="G241" s="353" t="str">
        <f t="shared" si="8"/>
        <v>戊寅</v>
      </c>
      <c r="H241" s="357">
        <f t="shared" ref="H241:H251" si="9">MOD(H240+29+IF(F241="+1",1,0)-1,60)+1</f>
        <v>15</v>
      </c>
      <c r="I241" s="485" t="str">
        <f t="shared" ref="I241:I251" si="10">IF(E241&gt;=441,"大","小")</f>
        <v>大</v>
      </c>
      <c r="K241">
        <f t="shared" ref="K241:K253" si="11">K240+IF(I240="大",30,29)</f>
        <v>106694</v>
      </c>
    </row>
    <row r="242" spans="1:11" ht="12" customHeight="1">
      <c r="B242" s="484">
        <f t="shared" si="4"/>
        <v>4</v>
      </c>
      <c r="C242" s="353" t="s">
        <v>64</v>
      </c>
      <c r="D242" s="354">
        <f t="shared" si="5"/>
        <v>47</v>
      </c>
      <c r="E242" s="355">
        <f t="shared" si="6"/>
        <v>466</v>
      </c>
      <c r="F242" s="356" t="str">
        <f t="shared" si="7"/>
        <v>+1</v>
      </c>
      <c r="G242" s="353" t="str">
        <f t="shared" si="8"/>
        <v>戊申</v>
      </c>
      <c r="H242" s="357">
        <f t="shared" si="9"/>
        <v>45</v>
      </c>
      <c r="I242" s="485" t="str">
        <f t="shared" si="10"/>
        <v>大</v>
      </c>
      <c r="K242">
        <f t="shared" si="11"/>
        <v>106724</v>
      </c>
    </row>
    <row r="243" spans="1:11" ht="12" customHeight="1">
      <c r="B243" s="484">
        <f t="shared" si="4"/>
        <v>5</v>
      </c>
      <c r="C243" s="353" t="s">
        <v>65</v>
      </c>
      <c r="D243" s="354">
        <f t="shared" si="5"/>
        <v>17</v>
      </c>
      <c r="E243" s="355">
        <f t="shared" si="6"/>
        <v>25</v>
      </c>
      <c r="F243" s="356" t="str">
        <f t="shared" si="7"/>
        <v>+1</v>
      </c>
      <c r="G243" s="353" t="str">
        <f t="shared" si="8"/>
        <v>戊寅</v>
      </c>
      <c r="H243" s="357">
        <f t="shared" si="9"/>
        <v>15</v>
      </c>
      <c r="I243" s="485" t="str">
        <f t="shared" si="10"/>
        <v>小</v>
      </c>
      <c r="K243">
        <f t="shared" si="11"/>
        <v>106754</v>
      </c>
    </row>
    <row r="244" spans="1:11" ht="12" customHeight="1">
      <c r="B244" s="484">
        <f t="shared" si="4"/>
        <v>6</v>
      </c>
      <c r="C244" s="353" t="s">
        <v>66</v>
      </c>
      <c r="D244" s="354">
        <f t="shared" si="5"/>
        <v>46</v>
      </c>
      <c r="E244" s="355">
        <f t="shared" si="6"/>
        <v>524</v>
      </c>
      <c r="F244" s="356" t="str">
        <f t="shared" si="7"/>
        <v/>
      </c>
      <c r="G244" s="353" t="str">
        <f t="shared" si="8"/>
        <v>丁未</v>
      </c>
      <c r="H244" s="357">
        <f t="shared" si="9"/>
        <v>44</v>
      </c>
      <c r="I244" s="485" t="str">
        <f t="shared" si="10"/>
        <v>大</v>
      </c>
      <c r="K244">
        <f t="shared" si="11"/>
        <v>106783</v>
      </c>
    </row>
    <row r="245" spans="1:11" ht="12" customHeight="1">
      <c r="B245" s="484">
        <f t="shared" si="4"/>
        <v>7</v>
      </c>
      <c r="C245" s="353" t="s">
        <v>67</v>
      </c>
      <c r="D245" s="354">
        <f t="shared" si="5"/>
        <v>16</v>
      </c>
      <c r="E245" s="355">
        <f t="shared" si="6"/>
        <v>83</v>
      </c>
      <c r="F245" s="356" t="str">
        <f t="shared" si="7"/>
        <v>+1</v>
      </c>
      <c r="G245" s="353" t="str">
        <f t="shared" si="8"/>
        <v>丁丑</v>
      </c>
      <c r="H245" s="357">
        <f t="shared" si="9"/>
        <v>14</v>
      </c>
      <c r="I245" s="485" t="str">
        <f t="shared" si="10"/>
        <v>小</v>
      </c>
      <c r="K245">
        <f t="shared" si="11"/>
        <v>106813</v>
      </c>
    </row>
    <row r="246" spans="1:11" ht="12" customHeight="1">
      <c r="B246" s="484">
        <f t="shared" si="4"/>
        <v>8</v>
      </c>
      <c r="C246" s="353" t="s">
        <v>68</v>
      </c>
      <c r="D246" s="354">
        <f t="shared" si="5"/>
        <v>45</v>
      </c>
      <c r="E246" s="355">
        <f t="shared" si="6"/>
        <v>582</v>
      </c>
      <c r="F246" s="356" t="str">
        <f t="shared" si="7"/>
        <v/>
      </c>
      <c r="G246" s="353" t="str">
        <f t="shared" si="8"/>
        <v>丙午</v>
      </c>
      <c r="H246" s="357">
        <f t="shared" si="9"/>
        <v>43</v>
      </c>
      <c r="I246" s="485" t="str">
        <f t="shared" si="10"/>
        <v>大</v>
      </c>
      <c r="K246">
        <f t="shared" si="11"/>
        <v>106842</v>
      </c>
    </row>
    <row r="247" spans="1:11" ht="12" customHeight="1">
      <c r="B247" s="484">
        <f t="shared" si="4"/>
        <v>9</v>
      </c>
      <c r="C247" s="353" t="s">
        <v>69</v>
      </c>
      <c r="D247" s="354">
        <f t="shared" si="5"/>
        <v>15</v>
      </c>
      <c r="E247" s="355">
        <f t="shared" si="6"/>
        <v>141</v>
      </c>
      <c r="F247" s="356" t="str">
        <f t="shared" si="7"/>
        <v>+1</v>
      </c>
      <c r="G247" s="353" t="str">
        <f t="shared" si="8"/>
        <v>丙子</v>
      </c>
      <c r="H247" s="357">
        <f t="shared" si="9"/>
        <v>13</v>
      </c>
      <c r="I247" s="485" t="str">
        <f t="shared" si="10"/>
        <v>小</v>
      </c>
      <c r="K247">
        <f t="shared" si="11"/>
        <v>106872</v>
      </c>
    </row>
    <row r="248" spans="1:11" ht="12" customHeight="1">
      <c r="B248" s="484">
        <f t="shared" si="4"/>
        <v>10</v>
      </c>
      <c r="C248" s="353" t="s">
        <v>70</v>
      </c>
      <c r="D248" s="354">
        <f t="shared" si="5"/>
        <v>44</v>
      </c>
      <c r="E248" s="355">
        <f t="shared" si="6"/>
        <v>640</v>
      </c>
      <c r="F248" s="356" t="str">
        <f t="shared" si="7"/>
        <v/>
      </c>
      <c r="G248" s="353" t="str">
        <f t="shared" si="8"/>
        <v>乙巳</v>
      </c>
      <c r="H248" s="357">
        <f t="shared" si="9"/>
        <v>42</v>
      </c>
      <c r="I248" s="485" t="str">
        <f t="shared" si="10"/>
        <v>大</v>
      </c>
      <c r="K248">
        <f t="shared" si="11"/>
        <v>106901</v>
      </c>
    </row>
    <row r="249" spans="1:11" ht="12" customHeight="1">
      <c r="B249" s="484">
        <f t="shared" si="4"/>
        <v>11</v>
      </c>
      <c r="C249" s="353" t="s">
        <v>71</v>
      </c>
      <c r="D249" s="354">
        <f t="shared" si="5"/>
        <v>14</v>
      </c>
      <c r="E249" s="355">
        <f t="shared" si="6"/>
        <v>199</v>
      </c>
      <c r="F249" s="356" t="str">
        <f t="shared" si="7"/>
        <v>+1</v>
      </c>
      <c r="G249" s="353" t="str">
        <f t="shared" si="8"/>
        <v>乙亥</v>
      </c>
      <c r="H249" s="357">
        <f t="shared" si="9"/>
        <v>12</v>
      </c>
      <c r="I249" s="485" t="str">
        <f t="shared" si="10"/>
        <v>小</v>
      </c>
      <c r="K249">
        <f t="shared" si="11"/>
        <v>106931</v>
      </c>
    </row>
    <row r="250" spans="1:11" ht="12" customHeight="1">
      <c r="B250" s="484">
        <f t="shared" si="4"/>
        <v>12</v>
      </c>
      <c r="C250" s="353" t="s">
        <v>72</v>
      </c>
      <c r="D250" s="354">
        <f t="shared" si="5"/>
        <v>43</v>
      </c>
      <c r="E250" s="355">
        <f t="shared" si="6"/>
        <v>698</v>
      </c>
      <c r="F250" s="356" t="str">
        <f t="shared" si="7"/>
        <v/>
      </c>
      <c r="G250" s="353" t="str">
        <f t="shared" si="8"/>
        <v>甲辰</v>
      </c>
      <c r="H250" s="357">
        <f t="shared" si="9"/>
        <v>41</v>
      </c>
      <c r="I250" s="485" t="str">
        <f t="shared" si="10"/>
        <v>大</v>
      </c>
      <c r="K250">
        <f t="shared" si="11"/>
        <v>106960</v>
      </c>
    </row>
    <row r="251" spans="1:11" ht="12" customHeight="1">
      <c r="B251" s="484">
        <f t="shared" si="4"/>
        <v>13</v>
      </c>
      <c r="C251" s="353" t="s">
        <v>73</v>
      </c>
      <c r="D251" s="354">
        <f t="shared" si="5"/>
        <v>13</v>
      </c>
      <c r="E251" s="355">
        <f t="shared" si="6"/>
        <v>257</v>
      </c>
      <c r="F251" s="356" t="str">
        <f t="shared" si="7"/>
        <v>+1</v>
      </c>
      <c r="G251" s="353" t="str">
        <f t="shared" si="8"/>
        <v>甲戌</v>
      </c>
      <c r="H251" s="357">
        <f t="shared" si="9"/>
        <v>11</v>
      </c>
      <c r="I251" s="485" t="str">
        <f t="shared" si="10"/>
        <v>小</v>
      </c>
      <c r="K251">
        <f t="shared" si="11"/>
        <v>106990</v>
      </c>
    </row>
    <row r="252" spans="1:11" ht="12" customHeight="1">
      <c r="B252" s="484">
        <f t="shared" si="4"/>
        <v>14</v>
      </c>
      <c r="C252" s="353" t="s">
        <v>629</v>
      </c>
      <c r="D252" s="354">
        <f t="shared" ref="D252:D253" si="12">MOD(INT(D251+29+(E251+499)/蔀月),60)</f>
        <v>42</v>
      </c>
      <c r="E252" s="355">
        <f t="shared" si="6"/>
        <v>756</v>
      </c>
      <c r="F252" s="356" t="str">
        <f t="shared" ref="F252:F253" si="13">IF(E251+499&gt;蔀月,"+1","")</f>
        <v/>
      </c>
      <c r="G252" s="353" t="str">
        <f t="shared" ref="G252:G253" si="14">CONCATENATE(CHOOSE(MOD(H252,10)+1,"癸","甲","乙","丙","丁","戊","己","庚","辛","壬"),(CHOOSE(MOD(H252,12)+1,"亥","子","丑","寅","卯","辰","巳","午","未","申","酉","戌")))</f>
        <v>癸卯</v>
      </c>
      <c r="H252" s="357">
        <f t="shared" ref="H252:H253" si="15">MOD(H251+29+IF(F252="+1",1,0)-1,60)+1</f>
        <v>40</v>
      </c>
      <c r="I252" s="485" t="str">
        <f t="shared" ref="I252:I253" si="16">IF(E252&gt;=441,"大","小")</f>
        <v>大</v>
      </c>
      <c r="K252">
        <f t="shared" si="11"/>
        <v>107019</v>
      </c>
    </row>
    <row r="253" spans="1:11" ht="12" customHeight="1">
      <c r="B253" s="486">
        <f t="shared" si="4"/>
        <v>15</v>
      </c>
      <c r="C253" s="487" t="s">
        <v>630</v>
      </c>
      <c r="D253" s="488">
        <f t="shared" si="12"/>
        <v>12</v>
      </c>
      <c r="E253" s="489">
        <f t="shared" si="6"/>
        <v>315</v>
      </c>
      <c r="F253" s="490" t="str">
        <f t="shared" si="13"/>
        <v>+1</v>
      </c>
      <c r="G253" s="487" t="str">
        <f t="shared" si="14"/>
        <v>癸酉</v>
      </c>
      <c r="H253" s="491">
        <f t="shared" si="15"/>
        <v>10</v>
      </c>
      <c r="I253" s="492" t="str">
        <f t="shared" si="16"/>
        <v>小</v>
      </c>
      <c r="K253">
        <f t="shared" si="11"/>
        <v>107049</v>
      </c>
    </row>
    <row r="254" spans="1:11" ht="12" customHeight="1">
      <c r="B254" s="475"/>
      <c r="C254" s="353"/>
      <c r="D254" s="354"/>
      <c r="E254" s="355"/>
      <c r="F254" s="356"/>
      <c r="G254" s="353"/>
      <c r="H254" s="357"/>
      <c r="I254" s="356"/>
    </row>
    <row r="255" spans="1:11" s="577" customFormat="1" ht="12" customHeight="1">
      <c r="A255" s="577" t="s">
        <v>746</v>
      </c>
      <c r="B255" s="577" t="s">
        <v>667</v>
      </c>
    </row>
    <row r="256" spans="1:11" s="15" customFormat="1" ht="12" customHeight="1">
      <c r="A256" s="344" t="s">
        <v>542</v>
      </c>
      <c r="B256" s="15" t="s">
        <v>747</v>
      </c>
      <c r="I256" s="14">
        <f>IF(D260="去年",Years.Since.High.Origin,IF(D260="入蔀年",入蔀年,入蔀年-1))*大周</f>
        <v>21973440</v>
      </c>
    </row>
    <row r="257" spans="1:10" s="15" customFormat="1" ht="12" customHeight="1">
      <c r="A257" s="344"/>
      <c r="I257" s="14"/>
    </row>
    <row r="258" spans="1:10" s="26" customFormat="1" ht="12" customHeight="1">
      <c r="A258" s="24"/>
      <c r="B258" s="904" t="s">
        <v>753</v>
      </c>
      <c r="C258" s="904" t="s">
        <v>8</v>
      </c>
      <c r="D258" s="904"/>
      <c r="E258" s="904"/>
      <c r="F258" s="904"/>
      <c r="G258" s="904"/>
      <c r="H258" s="904"/>
      <c r="I258" s="904"/>
    </row>
    <row r="259" spans="1:10" s="26" customFormat="1" ht="12" customHeight="1" thickBot="1">
      <c r="A259" s="24"/>
      <c r="B259" s="564"/>
      <c r="C259" s="564"/>
      <c r="D259" s="564"/>
      <c r="E259" s="564"/>
      <c r="F259" s="564"/>
      <c r="G259" s="564"/>
      <c r="H259" s="564"/>
      <c r="I259" s="564"/>
    </row>
    <row r="260" spans="1:10" s="26" customFormat="1" ht="12" customHeight="1" thickBot="1">
      <c r="A260" s="24"/>
      <c r="B260" s="564"/>
      <c r="C260" s="282" t="s">
        <v>749</v>
      </c>
      <c r="D260" s="578" t="s">
        <v>1041</v>
      </c>
      <c r="E260" s="564"/>
      <c r="F260" s="564"/>
      <c r="G260" s="564"/>
      <c r="H260" s="564"/>
      <c r="I260" s="564"/>
    </row>
    <row r="261" spans="1:10" s="26" customFormat="1" ht="12" customHeight="1">
      <c r="A261" s="24"/>
      <c r="B261" s="564"/>
      <c r="C261" s="564"/>
      <c r="D261" s="564"/>
      <c r="E261" s="564"/>
      <c r="F261" s="564"/>
      <c r="G261" s="564"/>
      <c r="H261" s="564"/>
      <c r="I261" s="564"/>
    </row>
    <row r="262" spans="1:10" s="26" customFormat="1" ht="12" customHeight="1">
      <c r="A262" s="24"/>
      <c r="B262" s="281" t="s">
        <v>1042</v>
      </c>
      <c r="C262" s="837"/>
      <c r="D262" s="837"/>
      <c r="E262" s="837"/>
      <c r="F262" s="837"/>
      <c r="G262" s="837"/>
      <c r="H262" s="837"/>
      <c r="I262" s="837"/>
    </row>
    <row r="263" spans="1:10" s="15" customFormat="1" ht="12" customHeight="1">
      <c r="A263" s="344"/>
      <c r="I263" s="14"/>
    </row>
    <row r="264" spans="1:10" s="15" customFormat="1" ht="12" customHeight="1">
      <c r="A264" s="344"/>
      <c r="B264" s="15" t="s">
        <v>545</v>
      </c>
      <c r="I264" s="15">
        <f>I256-(周天*閏餘)</f>
        <v>21957369</v>
      </c>
    </row>
    <row r="265" spans="1:10" s="15" customFormat="1" ht="12" customHeight="1">
      <c r="A265" s="344"/>
      <c r="B265" s="15" t="s">
        <v>546</v>
      </c>
      <c r="I265" s="37">
        <f>INT(I264/蔀月)</f>
        <v>23358</v>
      </c>
      <c r="J265" s="572">
        <f>MOD(I264,蔀月)</f>
        <v>849</v>
      </c>
    </row>
    <row r="266" spans="1:10" s="15" customFormat="1" ht="12" customHeight="1">
      <c r="A266" s="344"/>
      <c r="I266" s="37"/>
      <c r="J266" s="572"/>
    </row>
    <row r="267" spans="1:10" s="15" customFormat="1" ht="12" customHeight="1">
      <c r="A267" s="344"/>
      <c r="B267" s="8" t="s">
        <v>750</v>
      </c>
      <c r="C267" s="8"/>
      <c r="D267" s="8"/>
      <c r="E267" s="8"/>
      <c r="F267" s="8"/>
      <c r="G267" s="8"/>
      <c r="H267" s="8"/>
      <c r="I267" s="8"/>
      <c r="J267" s="8"/>
    </row>
    <row r="268" spans="1:10" s="15" customFormat="1" ht="12" customHeight="1">
      <c r="A268" s="344"/>
      <c r="B268" s="8"/>
      <c r="C268" s="8"/>
      <c r="D268" s="8"/>
      <c r="E268" s="8"/>
      <c r="F268" s="8"/>
      <c r="G268" s="8"/>
      <c r="H268" s="8"/>
      <c r="I268" s="8"/>
      <c r="J268" s="8"/>
    </row>
    <row r="269" spans="1:10" s="15" customFormat="1" ht="12" customHeight="1">
      <c r="A269" s="344"/>
      <c r="B269" s="8"/>
      <c r="C269" s="8"/>
      <c r="D269" s="8"/>
      <c r="E269" s="8"/>
      <c r="F269" s="8"/>
      <c r="G269" s="8"/>
      <c r="H269" s="20" t="s">
        <v>751</v>
      </c>
      <c r="I269" s="8">
        <f>MOD(I265,60)</f>
        <v>18</v>
      </c>
      <c r="J269" s="8"/>
    </row>
    <row r="270" spans="1:10" s="15" customFormat="1" ht="12" customHeight="1">
      <c r="A270" s="344"/>
      <c r="B270" s="8"/>
      <c r="C270" s="8"/>
      <c r="D270" s="8"/>
      <c r="E270" s="8"/>
      <c r="F270" s="8"/>
      <c r="G270" s="8"/>
      <c r="H270" s="20" t="s">
        <v>752</v>
      </c>
      <c r="I270" s="20" t="str">
        <f>CONCATENATE(CHOOSE(MOD(J270,10)+1,"癸","甲","乙","丙","丁","戊","己","庚","辛","壬"),(CHOOSE(MOD(J270,12)+1,"亥","子","丑","寅","卯","辰","巳","午","未","申","酉","戌")))</f>
        <v>己卯</v>
      </c>
      <c r="J270" s="579">
        <f>MOD(I269+IF(D260="去年",1,蔀名)-1,60)+1</f>
        <v>16</v>
      </c>
    </row>
    <row r="271" spans="1:10" s="15" customFormat="1" ht="12" customHeight="1">
      <c r="A271" s="344"/>
      <c r="B271" s="8"/>
      <c r="C271" s="8"/>
      <c r="D271" s="8"/>
      <c r="E271" s="8"/>
      <c r="F271" s="8"/>
      <c r="G271" s="8"/>
      <c r="H271" s="8"/>
      <c r="I271" s="8"/>
      <c r="J271" s="8"/>
    </row>
    <row r="272" spans="1:10" s="15" customFormat="1" ht="41.4" customHeight="1">
      <c r="A272" s="344"/>
      <c r="B272" s="904" t="s">
        <v>755</v>
      </c>
      <c r="C272" s="904"/>
      <c r="D272" s="904"/>
      <c r="E272" s="904"/>
      <c r="F272" s="904"/>
      <c r="G272" s="904"/>
      <c r="H272" s="904"/>
      <c r="I272" s="8"/>
      <c r="J272" s="8"/>
    </row>
    <row r="273" spans="1:13" ht="12" customHeight="1"/>
    <row r="274" spans="1:13" s="31" customFormat="1" ht="12" customHeight="1">
      <c r="A274" s="345" t="s">
        <v>547</v>
      </c>
      <c r="B274" s="346" t="s">
        <v>548</v>
      </c>
    </row>
    <row r="275" spans="1:13" s="26" customFormat="1" ht="12" customHeight="1">
      <c r="A275" s="344" t="s">
        <v>549</v>
      </c>
      <c r="B275" s="48" t="s">
        <v>550</v>
      </c>
      <c r="C275" s="48"/>
      <c r="D275" s="48"/>
      <c r="E275" s="48"/>
      <c r="F275" s="48"/>
      <c r="G275" s="48"/>
      <c r="H275" s="48"/>
      <c r="I275" s="48">
        <f>入蔀年-1</f>
        <v>64</v>
      </c>
    </row>
    <row r="276" spans="1:13" s="26" customFormat="1" ht="12" customHeight="1">
      <c r="A276" s="47"/>
      <c r="B276" s="48"/>
      <c r="C276" s="48"/>
      <c r="D276" s="48"/>
      <c r="E276" s="48"/>
      <c r="F276" s="48"/>
      <c r="G276" s="48"/>
      <c r="H276"/>
      <c r="I276" s="23"/>
      <c r="K276" s="55"/>
    </row>
    <row r="277" spans="1:13" s="26" customFormat="1" ht="12" customHeight="1">
      <c r="A277" s="47"/>
      <c r="B277" s="48" t="s">
        <v>551</v>
      </c>
      <c r="C277" s="48"/>
      <c r="D277" s="48"/>
      <c r="E277" s="48"/>
      <c r="F277" s="48"/>
      <c r="G277" s="48"/>
      <c r="H277" s="48"/>
      <c r="I277" s="48">
        <f>I275*日餘</f>
        <v>10752</v>
      </c>
    </row>
    <row r="278" spans="1:13" s="26" customFormat="1" ht="12" customHeight="1">
      <c r="A278" s="47"/>
      <c r="B278" s="48" t="s">
        <v>552</v>
      </c>
      <c r="C278" s="48"/>
      <c r="D278" s="48"/>
      <c r="E278" s="48"/>
      <c r="F278" s="48"/>
      <c r="G278" s="48"/>
      <c r="H278" s="48"/>
      <c r="I278" s="34">
        <f>INT(I277/中法)</f>
        <v>336</v>
      </c>
      <c r="J278" s="319">
        <f>MOD(I277,中法)</f>
        <v>0</v>
      </c>
    </row>
    <row r="279" spans="1:13" ht="12" customHeight="1"/>
    <row r="280" spans="1:13" ht="12" customHeight="1">
      <c r="B280" t="s">
        <v>553</v>
      </c>
      <c r="I280">
        <f>MOD(氣大餘,60)</f>
        <v>36</v>
      </c>
    </row>
    <row r="281" spans="1:13" ht="12" customHeight="1"/>
    <row r="282" spans="1:13" ht="12" customHeight="1">
      <c r="B282" t="s">
        <v>554</v>
      </c>
      <c r="I282" s="320" t="str">
        <f>CONCATENATE(CHOOSE(MOD(J282,10)+1,"癸","甲","乙","丙","丁","戊","己","庚","辛","壬"),(CHOOSE(MOD(J282,12)+1,"亥","子","丑","寅","卯","辰","巳","午","未","申","酉","戌")))</f>
        <v>丁酉</v>
      </c>
      <c r="J282" s="319">
        <f>MOD(I280+蔀名-1,60)+1</f>
        <v>34</v>
      </c>
    </row>
    <row r="283" spans="1:13" ht="12" customHeight="1"/>
    <row r="284" spans="1:13" ht="12" customHeight="1">
      <c r="B284" t="s">
        <v>555</v>
      </c>
    </row>
    <row r="285" spans="1:13" ht="12" customHeight="1"/>
    <row r="286" spans="1:13" s="26" customFormat="1" ht="12" customHeight="1">
      <c r="A286" s="47"/>
      <c r="B286" s="476" t="s">
        <v>114</v>
      </c>
      <c r="C286" s="477" t="s">
        <v>556</v>
      </c>
      <c r="D286" s="478" t="s">
        <v>100</v>
      </c>
      <c r="E286" s="479" t="s">
        <v>101</v>
      </c>
      <c r="F286" s="479"/>
      <c r="G286" s="477" t="s">
        <v>557</v>
      </c>
      <c r="H286" s="481"/>
      <c r="I286"/>
      <c r="J286" s="48"/>
      <c r="M286" s="48"/>
    </row>
    <row r="287" spans="1:13" ht="12" customHeight="1">
      <c r="B287" s="482">
        <v>1</v>
      </c>
      <c r="C287" s="348" t="s">
        <v>77</v>
      </c>
      <c r="D287" s="349">
        <f>I280</f>
        <v>36</v>
      </c>
      <c r="E287" s="350">
        <f>氣小餘</f>
        <v>0</v>
      </c>
      <c r="F287" s="351"/>
      <c r="G287" s="348" t="str">
        <f>I282</f>
        <v>丁酉</v>
      </c>
      <c r="H287" s="493">
        <f>J282</f>
        <v>34</v>
      </c>
    </row>
    <row r="288" spans="1:13" ht="12" customHeight="1">
      <c r="B288" s="484">
        <f t="shared" ref="B288:B314" si="17">B287+1</f>
        <v>2</v>
      </c>
      <c r="C288" s="360" t="s">
        <v>78</v>
      </c>
      <c r="D288" s="354">
        <f t="shared" ref="D288:D314" si="18">MOD(INT(D287+15+(氣小餘+7)/中法),60)</f>
        <v>51</v>
      </c>
      <c r="E288" s="355">
        <f t="shared" ref="E288:E314" si="19">MOD(E287+7,中法)</f>
        <v>7</v>
      </c>
      <c r="F288" s="356" t="str">
        <f t="shared" ref="F288:F310" si="20">IF(E287+7&gt;中法,"+1","")</f>
        <v/>
      </c>
      <c r="G288" s="353" t="str">
        <f t="shared" ref="G288" si="21">CONCATENATE(CHOOSE(MOD(H288,10)+1,"癸","甲","乙","丙","丁","戊","己","庚","辛","壬"),(CHOOSE(MOD(H288,12)+1,"亥","子","丑","寅","卯","辰","巳","午","未","申","酉","戌")))</f>
        <v>壬子</v>
      </c>
      <c r="H288" s="494">
        <f>MOD(H287+15+IF(F288="+1",1,0)-1,60)+1</f>
        <v>49</v>
      </c>
    </row>
    <row r="289" spans="2:8" ht="12" customHeight="1">
      <c r="B289" s="484">
        <f t="shared" si="17"/>
        <v>3</v>
      </c>
      <c r="C289" s="360" t="s">
        <v>79</v>
      </c>
      <c r="D289" s="354">
        <f t="shared" si="18"/>
        <v>6</v>
      </c>
      <c r="E289" s="355">
        <f t="shared" si="19"/>
        <v>14</v>
      </c>
      <c r="F289" s="356" t="str">
        <f t="shared" si="20"/>
        <v/>
      </c>
      <c r="G289" s="353" t="str">
        <f t="shared" ref="G289:G310" si="22">CONCATENATE(CHOOSE(MOD(H289,10)+1,"癸","甲","乙","丙","丁","戊","己","庚","辛","壬"),(CHOOSE(MOD(H289,12)+1,"亥","子","丑","寅","卯","辰","巳","午","未","申","酉","戌")))</f>
        <v>丁卯</v>
      </c>
      <c r="H289" s="494">
        <f t="shared" ref="H289:H310" si="23">MOD(H288+15+IF(F289="+1",1,0)-1,60)+1</f>
        <v>4</v>
      </c>
    </row>
    <row r="290" spans="2:8" ht="12" customHeight="1">
      <c r="B290" s="484">
        <f t="shared" si="17"/>
        <v>4</v>
      </c>
      <c r="C290" s="360" t="s">
        <v>80</v>
      </c>
      <c r="D290" s="354">
        <f t="shared" si="18"/>
        <v>21</v>
      </c>
      <c r="E290" s="355">
        <f t="shared" si="19"/>
        <v>21</v>
      </c>
      <c r="F290" s="356" t="str">
        <f t="shared" si="20"/>
        <v/>
      </c>
      <c r="G290" s="353" t="str">
        <f t="shared" si="22"/>
        <v>壬午</v>
      </c>
      <c r="H290" s="494">
        <f t="shared" si="23"/>
        <v>19</v>
      </c>
    </row>
    <row r="291" spans="2:8" ht="12" customHeight="1">
      <c r="B291" s="484">
        <f t="shared" si="17"/>
        <v>5</v>
      </c>
      <c r="C291" s="360" t="s">
        <v>81</v>
      </c>
      <c r="D291" s="354">
        <f t="shared" si="18"/>
        <v>36</v>
      </c>
      <c r="E291" s="355">
        <f t="shared" si="19"/>
        <v>28</v>
      </c>
      <c r="F291" s="356" t="str">
        <f t="shared" si="20"/>
        <v/>
      </c>
      <c r="G291" s="353" t="str">
        <f t="shared" si="22"/>
        <v>丁酉</v>
      </c>
      <c r="H291" s="494">
        <f t="shared" si="23"/>
        <v>34</v>
      </c>
    </row>
    <row r="292" spans="2:8" ht="12" customHeight="1">
      <c r="B292" s="484">
        <f t="shared" si="17"/>
        <v>6</v>
      </c>
      <c r="C292" s="360" t="s">
        <v>82</v>
      </c>
      <c r="D292" s="354">
        <f t="shared" si="18"/>
        <v>51</v>
      </c>
      <c r="E292" s="355">
        <f t="shared" si="19"/>
        <v>3</v>
      </c>
      <c r="F292" s="356" t="str">
        <f t="shared" si="20"/>
        <v>+1</v>
      </c>
      <c r="G292" s="353" t="str">
        <f t="shared" si="22"/>
        <v>癸丑</v>
      </c>
      <c r="H292" s="494">
        <f t="shared" si="23"/>
        <v>50</v>
      </c>
    </row>
    <row r="293" spans="2:8" ht="12" customHeight="1">
      <c r="B293" s="484">
        <f t="shared" si="17"/>
        <v>7</v>
      </c>
      <c r="C293" s="361" t="s">
        <v>83</v>
      </c>
      <c r="D293" s="354">
        <f t="shared" si="18"/>
        <v>6</v>
      </c>
      <c r="E293" s="355">
        <f t="shared" si="19"/>
        <v>10</v>
      </c>
      <c r="F293" s="356" t="str">
        <f t="shared" si="20"/>
        <v/>
      </c>
      <c r="G293" s="353" t="str">
        <f t="shared" si="22"/>
        <v>戊辰</v>
      </c>
      <c r="H293" s="494">
        <f t="shared" si="23"/>
        <v>5</v>
      </c>
    </row>
    <row r="294" spans="2:8" ht="12" customHeight="1">
      <c r="B294" s="484">
        <f t="shared" si="17"/>
        <v>8</v>
      </c>
      <c r="C294" s="360" t="s">
        <v>84</v>
      </c>
      <c r="D294" s="354">
        <f t="shared" si="18"/>
        <v>21</v>
      </c>
      <c r="E294" s="355">
        <f t="shared" si="19"/>
        <v>17</v>
      </c>
      <c r="F294" s="356" t="str">
        <f t="shared" si="20"/>
        <v/>
      </c>
      <c r="G294" s="353" t="str">
        <f t="shared" si="22"/>
        <v>癸未</v>
      </c>
      <c r="H294" s="494">
        <f t="shared" si="23"/>
        <v>20</v>
      </c>
    </row>
    <row r="295" spans="2:8" ht="12" customHeight="1">
      <c r="B295" s="484">
        <f t="shared" si="17"/>
        <v>9</v>
      </c>
      <c r="C295" s="360" t="s">
        <v>85</v>
      </c>
      <c r="D295" s="354">
        <f t="shared" si="18"/>
        <v>36</v>
      </c>
      <c r="E295" s="355">
        <f t="shared" si="19"/>
        <v>24</v>
      </c>
      <c r="F295" s="356" t="str">
        <f t="shared" si="20"/>
        <v/>
      </c>
      <c r="G295" s="353" t="str">
        <f t="shared" si="22"/>
        <v>戊戌</v>
      </c>
      <c r="H295" s="494">
        <f t="shared" si="23"/>
        <v>35</v>
      </c>
    </row>
    <row r="296" spans="2:8" ht="12" customHeight="1">
      <c r="B296" s="484">
        <f t="shared" si="17"/>
        <v>10</v>
      </c>
      <c r="C296" s="360" t="s">
        <v>86</v>
      </c>
      <c r="D296" s="354">
        <f t="shared" si="18"/>
        <v>51</v>
      </c>
      <c r="E296" s="355">
        <f t="shared" si="19"/>
        <v>31</v>
      </c>
      <c r="F296" s="356" t="str">
        <f t="shared" si="20"/>
        <v/>
      </c>
      <c r="G296" s="353" t="str">
        <f t="shared" si="22"/>
        <v>癸丑</v>
      </c>
      <c r="H296" s="494">
        <f t="shared" si="23"/>
        <v>50</v>
      </c>
    </row>
    <row r="297" spans="2:8" ht="12" customHeight="1">
      <c r="B297" s="484">
        <f t="shared" si="17"/>
        <v>11</v>
      </c>
      <c r="C297" s="360" t="s">
        <v>87</v>
      </c>
      <c r="D297" s="354">
        <f t="shared" si="18"/>
        <v>6</v>
      </c>
      <c r="E297" s="355">
        <f t="shared" si="19"/>
        <v>6</v>
      </c>
      <c r="F297" s="356" t="str">
        <f t="shared" si="20"/>
        <v>+1</v>
      </c>
      <c r="G297" s="353" t="str">
        <f t="shared" si="22"/>
        <v>己巳</v>
      </c>
      <c r="H297" s="494">
        <f t="shared" si="23"/>
        <v>6</v>
      </c>
    </row>
    <row r="298" spans="2:8" ht="12" customHeight="1">
      <c r="B298" s="484">
        <f t="shared" si="17"/>
        <v>12</v>
      </c>
      <c r="C298" s="360" t="s">
        <v>88</v>
      </c>
      <c r="D298" s="354">
        <f t="shared" si="18"/>
        <v>21</v>
      </c>
      <c r="E298" s="355">
        <f t="shared" si="19"/>
        <v>13</v>
      </c>
      <c r="F298" s="356" t="str">
        <f t="shared" si="20"/>
        <v/>
      </c>
      <c r="G298" s="353" t="str">
        <f t="shared" si="22"/>
        <v>甲申</v>
      </c>
      <c r="H298" s="494">
        <f t="shared" si="23"/>
        <v>21</v>
      </c>
    </row>
    <row r="299" spans="2:8" ht="12" customHeight="1">
      <c r="B299" s="484">
        <f t="shared" si="17"/>
        <v>13</v>
      </c>
      <c r="C299" s="361" t="s">
        <v>89</v>
      </c>
      <c r="D299" s="354">
        <f t="shared" si="18"/>
        <v>36</v>
      </c>
      <c r="E299" s="355">
        <f t="shared" si="19"/>
        <v>20</v>
      </c>
      <c r="F299" s="356" t="str">
        <f t="shared" si="20"/>
        <v/>
      </c>
      <c r="G299" s="353" t="str">
        <f t="shared" si="22"/>
        <v>己亥</v>
      </c>
      <c r="H299" s="494">
        <f t="shared" si="23"/>
        <v>36</v>
      </c>
    </row>
    <row r="300" spans="2:8" ht="12" customHeight="1">
      <c r="B300" s="484">
        <f t="shared" si="17"/>
        <v>14</v>
      </c>
      <c r="C300" s="360" t="s">
        <v>90</v>
      </c>
      <c r="D300" s="354">
        <f t="shared" si="18"/>
        <v>51</v>
      </c>
      <c r="E300" s="355">
        <f t="shared" si="19"/>
        <v>27</v>
      </c>
      <c r="F300" s="356" t="str">
        <f t="shared" si="20"/>
        <v/>
      </c>
      <c r="G300" s="353" t="str">
        <f t="shared" si="22"/>
        <v>甲寅</v>
      </c>
      <c r="H300" s="494">
        <f t="shared" si="23"/>
        <v>51</v>
      </c>
    </row>
    <row r="301" spans="2:8" ht="12" customHeight="1">
      <c r="B301" s="484">
        <f t="shared" si="17"/>
        <v>15</v>
      </c>
      <c r="C301" s="360" t="s">
        <v>91</v>
      </c>
      <c r="D301" s="354">
        <f t="shared" si="18"/>
        <v>6</v>
      </c>
      <c r="E301" s="355">
        <f t="shared" si="19"/>
        <v>2</v>
      </c>
      <c r="F301" s="356" t="str">
        <f t="shared" si="20"/>
        <v>+1</v>
      </c>
      <c r="G301" s="353" t="str">
        <f t="shared" si="22"/>
        <v>庚午</v>
      </c>
      <c r="H301" s="494">
        <f t="shared" si="23"/>
        <v>7</v>
      </c>
    </row>
    <row r="302" spans="2:8" ht="12" customHeight="1">
      <c r="B302" s="484">
        <f t="shared" si="17"/>
        <v>16</v>
      </c>
      <c r="C302" s="360" t="s">
        <v>92</v>
      </c>
      <c r="D302" s="354">
        <f t="shared" si="18"/>
        <v>21</v>
      </c>
      <c r="E302" s="355">
        <f t="shared" si="19"/>
        <v>9</v>
      </c>
      <c r="F302" s="356" t="str">
        <f t="shared" si="20"/>
        <v/>
      </c>
      <c r="G302" s="353" t="str">
        <f t="shared" si="22"/>
        <v>乙酉</v>
      </c>
      <c r="H302" s="494">
        <f t="shared" si="23"/>
        <v>22</v>
      </c>
    </row>
    <row r="303" spans="2:8" ht="12" customHeight="1">
      <c r="B303" s="484">
        <f t="shared" si="17"/>
        <v>17</v>
      </c>
      <c r="C303" s="360" t="s">
        <v>93</v>
      </c>
      <c r="D303" s="354">
        <f t="shared" si="18"/>
        <v>36</v>
      </c>
      <c r="E303" s="355">
        <f t="shared" si="19"/>
        <v>16</v>
      </c>
      <c r="F303" s="356" t="str">
        <f t="shared" si="20"/>
        <v/>
      </c>
      <c r="G303" s="353" t="str">
        <f t="shared" si="22"/>
        <v>庚子</v>
      </c>
      <c r="H303" s="494">
        <f t="shared" si="23"/>
        <v>37</v>
      </c>
    </row>
    <row r="304" spans="2:8" ht="12" customHeight="1">
      <c r="B304" s="484">
        <f t="shared" si="17"/>
        <v>18</v>
      </c>
      <c r="C304" s="360" t="s">
        <v>94</v>
      </c>
      <c r="D304" s="354">
        <f t="shared" si="18"/>
        <v>51</v>
      </c>
      <c r="E304" s="355">
        <f t="shared" si="19"/>
        <v>23</v>
      </c>
      <c r="F304" s="356" t="str">
        <f t="shared" si="20"/>
        <v/>
      </c>
      <c r="G304" s="353" t="str">
        <f t="shared" si="22"/>
        <v>乙卯</v>
      </c>
      <c r="H304" s="494">
        <f t="shared" si="23"/>
        <v>52</v>
      </c>
    </row>
    <row r="305" spans="1:11" ht="12" customHeight="1">
      <c r="B305" s="484">
        <f t="shared" si="17"/>
        <v>19</v>
      </c>
      <c r="C305" s="361" t="s">
        <v>95</v>
      </c>
      <c r="D305" s="354">
        <f t="shared" si="18"/>
        <v>6</v>
      </c>
      <c r="E305" s="355">
        <f t="shared" si="19"/>
        <v>30</v>
      </c>
      <c r="F305" s="356" t="str">
        <f t="shared" si="20"/>
        <v/>
      </c>
      <c r="G305" s="353" t="str">
        <f t="shared" si="22"/>
        <v>庚午</v>
      </c>
      <c r="H305" s="494">
        <f t="shared" si="23"/>
        <v>7</v>
      </c>
    </row>
    <row r="306" spans="1:11" ht="12" customHeight="1">
      <c r="B306" s="484">
        <f t="shared" si="17"/>
        <v>20</v>
      </c>
      <c r="C306" s="360" t="s">
        <v>96</v>
      </c>
      <c r="D306" s="354">
        <f t="shared" si="18"/>
        <v>21</v>
      </c>
      <c r="E306" s="355">
        <f t="shared" si="19"/>
        <v>5</v>
      </c>
      <c r="F306" s="356" t="str">
        <f t="shared" si="20"/>
        <v>+1</v>
      </c>
      <c r="G306" s="353" t="str">
        <f t="shared" si="22"/>
        <v>丙戌</v>
      </c>
      <c r="H306" s="494">
        <f t="shared" si="23"/>
        <v>23</v>
      </c>
    </row>
    <row r="307" spans="1:11" s="26" customFormat="1" ht="12" customHeight="1">
      <c r="A307" s="47"/>
      <c r="B307" s="484">
        <f t="shared" si="17"/>
        <v>21</v>
      </c>
      <c r="C307" s="360" t="s">
        <v>97</v>
      </c>
      <c r="D307" s="354">
        <f t="shared" si="18"/>
        <v>36</v>
      </c>
      <c r="E307" s="355">
        <f t="shared" si="19"/>
        <v>12</v>
      </c>
      <c r="F307" s="356" t="str">
        <f t="shared" si="20"/>
        <v/>
      </c>
      <c r="G307" s="353" t="str">
        <f t="shared" si="22"/>
        <v>辛丑</v>
      </c>
      <c r="H307" s="494">
        <f t="shared" si="23"/>
        <v>38</v>
      </c>
      <c r="I307" s="48"/>
    </row>
    <row r="308" spans="1:11" s="26" customFormat="1" ht="12" customHeight="1">
      <c r="A308" s="47"/>
      <c r="B308" s="484">
        <f t="shared" si="17"/>
        <v>22</v>
      </c>
      <c r="C308" s="360" t="s">
        <v>74</v>
      </c>
      <c r="D308" s="354">
        <f t="shared" si="18"/>
        <v>51</v>
      </c>
      <c r="E308" s="355">
        <f t="shared" si="19"/>
        <v>19</v>
      </c>
      <c r="F308" s="356" t="str">
        <f t="shared" si="20"/>
        <v/>
      </c>
      <c r="G308" s="353" t="str">
        <f t="shared" si="22"/>
        <v>丙辰</v>
      </c>
      <c r="H308" s="494">
        <f t="shared" si="23"/>
        <v>53</v>
      </c>
      <c r="I308"/>
      <c r="J308"/>
      <c r="K308"/>
    </row>
    <row r="309" spans="1:11" ht="12" customHeight="1">
      <c r="B309" s="484">
        <f t="shared" si="17"/>
        <v>23</v>
      </c>
      <c r="C309" s="360" t="s">
        <v>75</v>
      </c>
      <c r="D309" s="354">
        <f t="shared" si="18"/>
        <v>6</v>
      </c>
      <c r="E309" s="355">
        <f t="shared" si="19"/>
        <v>26</v>
      </c>
      <c r="F309" s="356" t="str">
        <f t="shared" si="20"/>
        <v/>
      </c>
      <c r="G309" s="353" t="str">
        <f t="shared" si="22"/>
        <v>辛未</v>
      </c>
      <c r="H309" s="494">
        <f t="shared" si="23"/>
        <v>8</v>
      </c>
    </row>
    <row r="310" spans="1:11" ht="12" customHeight="1">
      <c r="B310" s="484">
        <f t="shared" si="17"/>
        <v>24</v>
      </c>
      <c r="C310" s="360" t="s">
        <v>76</v>
      </c>
      <c r="D310" s="354">
        <f t="shared" si="18"/>
        <v>21</v>
      </c>
      <c r="E310" s="355">
        <f t="shared" si="19"/>
        <v>1</v>
      </c>
      <c r="F310" s="356" t="str">
        <f t="shared" si="20"/>
        <v>+1</v>
      </c>
      <c r="G310" s="353" t="str">
        <f t="shared" si="22"/>
        <v>丁亥</v>
      </c>
      <c r="H310" s="494">
        <f t="shared" si="23"/>
        <v>24</v>
      </c>
    </row>
    <row r="311" spans="1:11" ht="12" customHeight="1">
      <c r="B311" s="497">
        <f t="shared" si="17"/>
        <v>25</v>
      </c>
      <c r="C311" s="502" t="s">
        <v>77</v>
      </c>
      <c r="D311" s="427">
        <f t="shared" si="18"/>
        <v>36</v>
      </c>
      <c r="E311" s="498">
        <f t="shared" si="19"/>
        <v>8</v>
      </c>
      <c r="F311" s="499" t="str">
        <f t="shared" ref="F311:F314" si="24">IF(E310+7&gt;中法,"+1","")</f>
        <v/>
      </c>
      <c r="G311" s="500" t="str">
        <f t="shared" ref="G311:G314" si="25">CONCATENATE(CHOOSE(MOD(H311,10)+1,"癸","甲","乙","丙","丁","戊","己","庚","辛","壬"),(CHOOSE(MOD(H311,12)+1,"亥","子","丑","寅","卯","辰","巳","午","未","申","酉","戌")))</f>
        <v>壬寅</v>
      </c>
      <c r="H311" s="501">
        <f t="shared" ref="H311:H314" si="26">MOD(H310+15+IF(F311="+1",1,0)-1,60)+1</f>
        <v>39</v>
      </c>
    </row>
    <row r="312" spans="1:11" ht="12" customHeight="1">
      <c r="B312" s="484">
        <f t="shared" si="17"/>
        <v>26</v>
      </c>
      <c r="C312" s="360" t="s">
        <v>78</v>
      </c>
      <c r="D312" s="354">
        <f t="shared" si="18"/>
        <v>51</v>
      </c>
      <c r="E312" s="355">
        <f t="shared" si="19"/>
        <v>15</v>
      </c>
      <c r="F312" s="356" t="str">
        <f t="shared" si="24"/>
        <v/>
      </c>
      <c r="G312" s="353" t="str">
        <f t="shared" si="25"/>
        <v>丁巳</v>
      </c>
      <c r="H312" s="494">
        <f t="shared" si="26"/>
        <v>54</v>
      </c>
    </row>
    <row r="313" spans="1:11" ht="12" customHeight="1">
      <c r="B313" s="484">
        <f t="shared" si="17"/>
        <v>27</v>
      </c>
      <c r="C313" s="360" t="s">
        <v>79</v>
      </c>
      <c r="D313" s="354">
        <f t="shared" si="18"/>
        <v>6</v>
      </c>
      <c r="E313" s="355">
        <f t="shared" si="19"/>
        <v>22</v>
      </c>
      <c r="F313" s="356" t="str">
        <f t="shared" si="24"/>
        <v/>
      </c>
      <c r="G313" s="353" t="str">
        <f t="shared" si="25"/>
        <v>壬申</v>
      </c>
      <c r="H313" s="494">
        <f t="shared" si="26"/>
        <v>9</v>
      </c>
    </row>
    <row r="314" spans="1:11" ht="12" customHeight="1">
      <c r="B314" s="486">
        <f t="shared" si="17"/>
        <v>28</v>
      </c>
      <c r="C314" s="495" t="s">
        <v>80</v>
      </c>
      <c r="D314" s="488">
        <f t="shared" si="18"/>
        <v>21</v>
      </c>
      <c r="E314" s="489">
        <f t="shared" si="19"/>
        <v>29</v>
      </c>
      <c r="F314" s="490" t="str">
        <f t="shared" si="24"/>
        <v/>
      </c>
      <c r="G314" s="487" t="str">
        <f t="shared" si="25"/>
        <v>丁亥</v>
      </c>
      <c r="H314" s="496">
        <f t="shared" si="26"/>
        <v>24</v>
      </c>
    </row>
    <row r="315" spans="1:11" ht="12" customHeight="1"/>
    <row r="316" spans="1:11" s="31" customFormat="1" ht="12" customHeight="1">
      <c r="A316" s="345" t="s">
        <v>558</v>
      </c>
      <c r="B316" s="346" t="s">
        <v>559</v>
      </c>
    </row>
    <row r="317" spans="1:11" s="26" customFormat="1" ht="12" customHeight="1">
      <c r="A317" s="344" t="s">
        <v>560</v>
      </c>
      <c r="B317" s="48" t="s">
        <v>561</v>
      </c>
      <c r="C317" s="48"/>
      <c r="D317" s="48"/>
      <c r="E317" s="48"/>
      <c r="F317" s="48"/>
      <c r="G317" s="48"/>
      <c r="H317" s="48"/>
      <c r="I317" s="48">
        <f>章法-閏餘</f>
        <v>8</v>
      </c>
    </row>
    <row r="318" spans="1:11" s="26" customFormat="1" ht="12" customHeight="1">
      <c r="A318" s="47"/>
      <c r="B318" s="48" t="s">
        <v>562</v>
      </c>
      <c r="C318" s="48"/>
      <c r="D318" s="48"/>
      <c r="E318" s="48"/>
      <c r="F318" s="48"/>
      <c r="G318" s="48"/>
      <c r="H318" s="48"/>
      <c r="I318" s="48">
        <f>I317*12</f>
        <v>96</v>
      </c>
    </row>
    <row r="319" spans="1:11" ht="12" customHeight="1">
      <c r="B319" t="s">
        <v>563</v>
      </c>
      <c r="I319" s="34">
        <f>INT(I318/7)</f>
        <v>13</v>
      </c>
      <c r="J319" s="319">
        <f>MOD(I318,7)</f>
        <v>5</v>
      </c>
    </row>
    <row r="320" spans="1:11" ht="12" customHeight="1">
      <c r="B320" t="s">
        <v>564</v>
      </c>
      <c r="I320" s="208">
        <f>I319+IF(J319&gt;=4,1)</f>
        <v>14</v>
      </c>
    </row>
    <row r="321" spans="1:10" ht="12" customHeight="1">
      <c r="B321" t="s">
        <v>565</v>
      </c>
      <c r="I321" s="825">
        <f>IF(11+I320&lt;13,11+I320,I320-2)</f>
        <v>12</v>
      </c>
      <c r="J321" s="382"/>
    </row>
    <row r="322" spans="1:10" s="26" customFormat="1" ht="12" customHeight="1">
      <c r="A322" s="47"/>
      <c r="B322" s="48"/>
      <c r="C322" s="48"/>
      <c r="D322" s="48"/>
      <c r="E322" s="48"/>
      <c r="F322" s="48"/>
      <c r="G322" s="48"/>
      <c r="H322"/>
      <c r="I322" s="48"/>
    </row>
    <row r="323" spans="1:10" s="26" customFormat="1" ht="12" customHeight="1">
      <c r="A323" s="47"/>
      <c r="B323" s="48" t="s">
        <v>98</v>
      </c>
      <c r="C323" s="48"/>
      <c r="D323" s="48"/>
      <c r="E323" s="48"/>
      <c r="F323" s="48"/>
      <c r="G323" s="48"/>
      <c r="H323"/>
      <c r="I323" s="48"/>
    </row>
    <row r="324" spans="1:10" s="26" customFormat="1" ht="12" customHeight="1">
      <c r="A324" s="47"/>
      <c r="B324" s="48"/>
      <c r="C324" s="48"/>
      <c r="D324" s="48"/>
      <c r="E324" s="48"/>
      <c r="F324" s="48"/>
      <c r="G324" s="48"/>
      <c r="H324"/>
      <c r="I324" s="48"/>
    </row>
    <row r="325" spans="1:10" s="31" customFormat="1" ht="12" customHeight="1">
      <c r="A325" s="345" t="s">
        <v>566</v>
      </c>
      <c r="B325" s="346" t="s">
        <v>567</v>
      </c>
    </row>
    <row r="326" spans="1:10" s="26" customFormat="1" ht="30" customHeight="1">
      <c r="A326" s="344" t="s">
        <v>607</v>
      </c>
      <c r="B326" s="906" t="s">
        <v>99</v>
      </c>
      <c r="C326" s="906"/>
      <c r="D326" s="906"/>
      <c r="E326" s="906"/>
      <c r="F326" s="906"/>
      <c r="G326" s="906"/>
      <c r="H326" s="48"/>
      <c r="I326" s="48"/>
    </row>
    <row r="327" spans="1:10" s="26" customFormat="1">
      <c r="A327" s="47"/>
      <c r="B327" s="51"/>
      <c r="C327" s="48"/>
      <c r="D327" s="48"/>
      <c r="E327" s="48"/>
      <c r="F327" s="48"/>
      <c r="G327" s="48"/>
      <c r="H327" s="48"/>
      <c r="I327" s="48"/>
    </row>
    <row r="328" spans="1:10" s="26" customFormat="1" ht="109.2" customHeight="1">
      <c r="A328" s="47"/>
      <c r="B328" s="871" t="s">
        <v>595</v>
      </c>
      <c r="C328" s="871"/>
      <c r="D328" s="871"/>
      <c r="E328" s="871"/>
      <c r="F328" s="871"/>
      <c r="G328" s="871"/>
      <c r="H328" s="48"/>
      <c r="I328" s="48"/>
    </row>
    <row r="329" spans="1:10" s="26" customFormat="1">
      <c r="A329" s="47"/>
      <c r="B329" s="51"/>
      <c r="C329" s="48"/>
      <c r="D329" s="48"/>
      <c r="E329" s="48"/>
      <c r="F329" s="48"/>
      <c r="G329" s="48"/>
      <c r="H329" s="48"/>
      <c r="I329" s="48"/>
    </row>
    <row r="330" spans="1:10" s="26" customFormat="1" ht="29.25" customHeight="1">
      <c r="A330" s="47"/>
      <c r="B330" s="906" t="s">
        <v>569</v>
      </c>
      <c r="C330" s="906"/>
      <c r="D330" s="906"/>
      <c r="E330" s="906"/>
      <c r="F330" s="906"/>
      <c r="G330" s="906"/>
      <c r="H330" s="48"/>
      <c r="I330" s="48"/>
    </row>
    <row r="331" spans="1:10" s="26" customFormat="1" ht="13.95" customHeight="1">
      <c r="A331" s="47"/>
      <c r="B331" s="403"/>
      <c r="C331" s="403"/>
      <c r="D331" s="403"/>
      <c r="E331" s="403"/>
      <c r="F331" s="403"/>
      <c r="G331" s="403"/>
      <c r="H331" s="48"/>
      <c r="I331" s="48"/>
    </row>
    <row r="332" spans="1:10" s="26" customFormat="1" ht="109.95" customHeight="1">
      <c r="A332" s="47"/>
      <c r="B332" s="871" t="s">
        <v>675</v>
      </c>
      <c r="C332" s="871"/>
      <c r="D332" s="871"/>
      <c r="E332" s="871"/>
      <c r="F332" s="871"/>
      <c r="G332" s="871"/>
      <c r="H332" s="48"/>
      <c r="I332" s="48"/>
    </row>
    <row r="333" spans="1:10" s="26" customFormat="1" ht="13.95" customHeight="1">
      <c r="A333" s="47"/>
      <c r="B333" s="407"/>
      <c r="C333" s="407"/>
      <c r="D333" s="407"/>
      <c r="E333" s="407"/>
      <c r="F333" s="407"/>
      <c r="G333" s="407"/>
      <c r="H333" s="48"/>
      <c r="I333" s="48"/>
    </row>
    <row r="334" spans="1:10" s="26" customFormat="1" ht="13.95" customHeight="1">
      <c r="A334" s="47"/>
      <c r="B334" s="407"/>
      <c r="C334" s="407" t="s">
        <v>582</v>
      </c>
      <c r="D334" s="409">
        <f>0-MOD(J282+氣小餘/中法-J232+積日小餘/蔀月,60)</f>
        <v>-18.903191489361703</v>
      </c>
      <c r="E334" s="407"/>
      <c r="F334" s="407"/>
      <c r="G334" s="407"/>
      <c r="H334" s="48"/>
      <c r="I334" s="48"/>
    </row>
    <row r="335" spans="1:10" s="26" customFormat="1" ht="13.95" customHeight="1">
      <c r="A335" s="47"/>
      <c r="B335" s="407"/>
      <c r="C335" s="407"/>
      <c r="D335" s="407"/>
      <c r="E335" s="407"/>
      <c r="F335" s="407"/>
      <c r="G335" s="407"/>
      <c r="H335" s="48"/>
      <c r="I335" s="48"/>
    </row>
    <row r="336" spans="1:10" s="26" customFormat="1" ht="96.6" customHeight="1">
      <c r="A336" s="47"/>
      <c r="B336" s="871" t="s">
        <v>589</v>
      </c>
      <c r="C336" s="871"/>
      <c r="D336" s="871"/>
      <c r="E336" s="871"/>
      <c r="F336" s="871"/>
      <c r="G336" s="871"/>
      <c r="H336" s="48"/>
      <c r="I336" s="48"/>
    </row>
    <row r="337" spans="1:31" s="26" customFormat="1" ht="13.95" customHeight="1">
      <c r="A337" s="47"/>
      <c r="B337" s="407"/>
      <c r="C337" s="407"/>
      <c r="D337" s="407"/>
      <c r="E337" s="407"/>
      <c r="F337" s="407"/>
      <c r="G337" s="407"/>
      <c r="H337" s="48"/>
      <c r="I337" s="48"/>
    </row>
    <row r="338" spans="1:31" s="26" customFormat="1" ht="13.95" customHeight="1">
      <c r="A338" s="47"/>
      <c r="B338" s="407"/>
      <c r="C338" s="296" t="s">
        <v>586</v>
      </c>
      <c r="D338" s="296" t="s">
        <v>587</v>
      </c>
      <c r="E338" s="296" t="s">
        <v>585</v>
      </c>
      <c r="F338" s="296" t="s">
        <v>588</v>
      </c>
      <c r="G338" s="296" t="s">
        <v>556</v>
      </c>
      <c r="H338" s="48"/>
      <c r="I338" s="48"/>
    </row>
    <row r="339" spans="1:31" s="26" customFormat="1" ht="13.95" customHeight="1">
      <c r="A339" s="47"/>
      <c r="B339" s="407" t="s">
        <v>583</v>
      </c>
      <c r="C339" s="412">
        <f>WS_Epact</f>
        <v>-18.903191489361703</v>
      </c>
      <c r="D339" s="409">
        <f>mean_solar_year+C339</f>
        <v>346.34680851063831</v>
      </c>
      <c r="E339" s="411">
        <f>D339/(medial_qi/2)</f>
        <v>22.757901175237013</v>
      </c>
      <c r="F339" s="413">
        <f>MOD(ROUND(E339,0),24)+1</f>
        <v>24</v>
      </c>
      <c r="G339" s="407" t="str">
        <f>INDEX($C$287:$C$310,MATCH(F339,$B$287:$B$310,0))</f>
        <v>大雪</v>
      </c>
      <c r="H339" s="48"/>
      <c r="I339" s="48"/>
    </row>
    <row r="340" spans="1:31" s="26" customFormat="1" ht="13.95" customHeight="1">
      <c r="A340" s="47"/>
      <c r="B340" s="407" t="s">
        <v>102</v>
      </c>
      <c r="C340" s="409">
        <f>C339+7+359.75/蔀月</f>
        <v>-11.520478723404256</v>
      </c>
      <c r="D340" s="409">
        <f>mean_solar_year+C340</f>
        <v>353.72952127659573</v>
      </c>
      <c r="E340" s="411">
        <f>D340/(medial_qi/2)</f>
        <v>23.243007558215737</v>
      </c>
      <c r="F340" s="413">
        <f t="shared" ref="F340:F343" si="27">MOD(ROUND(E340,0),24)+1</f>
        <v>24</v>
      </c>
      <c r="G340" s="407" t="str">
        <f t="shared" ref="G340:G343" si="28">INDEX($C$287:$C$310,MATCH(F340,$B$287:$B$310,0))</f>
        <v>大雪</v>
      </c>
      <c r="H340" s="48"/>
      <c r="I340" s="48"/>
    </row>
    <row r="341" spans="1:31" s="26" customFormat="1" ht="13.95" customHeight="1">
      <c r="A341" s="47"/>
      <c r="B341" s="407" t="s">
        <v>103</v>
      </c>
      <c r="C341" s="409">
        <f>C340+7+359.75/蔀月</f>
        <v>-4.1377659574468098</v>
      </c>
      <c r="D341" s="409">
        <f>mean_solar_year+C341</f>
        <v>361.11223404255321</v>
      </c>
      <c r="E341" s="411">
        <f>D341/(medial_qi/2)</f>
        <v>23.728113941194461</v>
      </c>
      <c r="F341" s="413">
        <f t="shared" si="27"/>
        <v>1</v>
      </c>
      <c r="G341" s="407" t="str">
        <f t="shared" si="28"/>
        <v>冬至</v>
      </c>
      <c r="H341" s="48"/>
      <c r="I341" s="48"/>
    </row>
    <row r="342" spans="1:31" s="26" customFormat="1" ht="13.95" customHeight="1">
      <c r="A342" s="47"/>
      <c r="B342" s="407" t="s">
        <v>104</v>
      </c>
      <c r="C342" s="409">
        <f>C341+7+359.75/蔀月</f>
        <v>3.2449468085106372</v>
      </c>
      <c r="D342" s="409">
        <f>mean_solar_year+C342</f>
        <v>368.49494680851063</v>
      </c>
      <c r="E342" s="411">
        <f>D342/(medial_qi/2)</f>
        <v>24.213220324173182</v>
      </c>
      <c r="F342" s="413">
        <f t="shared" si="27"/>
        <v>1</v>
      </c>
      <c r="G342" s="407" t="str">
        <f t="shared" si="28"/>
        <v>冬至</v>
      </c>
      <c r="H342" s="48"/>
      <c r="I342" s="48"/>
    </row>
    <row r="343" spans="1:31" s="26" customFormat="1" ht="13.95" customHeight="1">
      <c r="A343" s="47"/>
      <c r="B343" s="407" t="s">
        <v>584</v>
      </c>
      <c r="C343" s="409">
        <f>C342+7+359.75/蔀月</f>
        <v>10.627659574468083</v>
      </c>
      <c r="D343" s="409">
        <f>mean_solar_year+C343</f>
        <v>375.87765957446811</v>
      </c>
      <c r="E343" s="411">
        <f>D343/(medial_qi/2)</f>
        <v>24.69832670715191</v>
      </c>
      <c r="F343" s="413">
        <f t="shared" si="27"/>
        <v>2</v>
      </c>
      <c r="G343" s="407" t="str">
        <f t="shared" si="28"/>
        <v>小寒</v>
      </c>
      <c r="H343" s="48"/>
      <c r="I343" s="48"/>
    </row>
    <row r="344" spans="1:31" s="26" customFormat="1" ht="13.95" customHeight="1">
      <c r="A344" s="47"/>
      <c r="B344" s="407"/>
      <c r="C344" s="407"/>
      <c r="D344" s="407"/>
      <c r="E344" s="407"/>
      <c r="F344" s="407"/>
      <c r="G344" s="407"/>
      <c r="H344" s="48"/>
      <c r="I344" s="48"/>
    </row>
    <row r="345" spans="1:31" s="26" customFormat="1" ht="11.4" customHeight="1">
      <c r="A345" s="47"/>
      <c r="B345" s="403"/>
      <c r="C345" s="403"/>
      <c r="D345" s="403"/>
      <c r="E345" s="403"/>
      <c r="F345" s="403"/>
      <c r="G345" s="403"/>
      <c r="H345" s="48"/>
      <c r="I345" s="48"/>
    </row>
    <row r="346" spans="1:31" ht="11.4" customHeight="1">
      <c r="B346" s="405" t="s">
        <v>593</v>
      </c>
      <c r="C346" s="405" t="s">
        <v>114</v>
      </c>
      <c r="D346" s="418" t="s">
        <v>594</v>
      </c>
      <c r="E346" s="405" t="s">
        <v>579</v>
      </c>
      <c r="F346" s="406" t="s">
        <v>100</v>
      </c>
      <c r="G346" s="405"/>
      <c r="H346" s="406" t="s">
        <v>101</v>
      </c>
      <c r="I346" s="405"/>
      <c r="J346" s="406" t="s">
        <v>580</v>
      </c>
      <c r="K346" s="406" t="s">
        <v>590</v>
      </c>
      <c r="L346" s="406" t="s">
        <v>581</v>
      </c>
      <c r="M346" s="406" t="s">
        <v>591</v>
      </c>
      <c r="N346" s="406" t="s">
        <v>592</v>
      </c>
    </row>
    <row r="347" spans="1:31" s="56" customFormat="1" ht="11.4" customHeight="1">
      <c r="B347" s="363" t="s">
        <v>61</v>
      </c>
      <c r="C347" s="419">
        <v>1</v>
      </c>
      <c r="D347" s="419">
        <v>11</v>
      </c>
      <c r="E347" s="362" t="s">
        <v>680</v>
      </c>
      <c r="F347" s="364" t="str">
        <f>INDEX(G$239:G$251,MATCH($C347,$B$239:$B$251))</f>
        <v>己卯</v>
      </c>
      <c r="G347" s="365">
        <f>INDEX(H$239:H$251,MATCH($C347,$B$239:$B$251))</f>
        <v>16</v>
      </c>
      <c r="H347" s="366">
        <f>INDEX(E$239:E$251,MATCH($C347,$B$239:$B$251))</f>
        <v>849</v>
      </c>
      <c r="I347" s="367"/>
      <c r="J347" s="415">
        <f t="shared" ref="J347:J378" si="29">H347*100/蔀月</f>
        <v>90.319148936170208</v>
      </c>
      <c r="K347" s="414">
        <f>C339</f>
        <v>-18.903191489361703</v>
      </c>
      <c r="L347" s="408" t="str">
        <f t="shared" ref="L347:L378" si="30">INDEX($C$287:$C$314,MATCH(MOD(ROUND((mean_solar_year+K347)/(medial_qi/2),0),24)+1,$B$287:$B$314,0))</f>
        <v>大雪</v>
      </c>
      <c r="M347" s="415">
        <f t="shared" ref="M347:M378" si="31">INDEX(Han.Solar.table.night.marks,MATCH(L347,Han.Solar.table.qi.names,0))/2</f>
        <v>27.25</v>
      </c>
      <c r="N347" s="416" t="str">
        <f>IF(J347&lt;M347,"筭上為日","")</f>
        <v/>
      </c>
      <c r="P347"/>
      <c r="Q347"/>
      <c r="R347"/>
      <c r="S347"/>
      <c r="T347"/>
      <c r="U347"/>
      <c r="V347"/>
      <c r="AB347"/>
      <c r="AC347"/>
      <c r="AD347" s="57"/>
      <c r="AE347"/>
    </row>
    <row r="348" spans="1:31" s="56" customFormat="1" ht="11.4" customHeight="1">
      <c r="B348" s="378" t="s">
        <v>102</v>
      </c>
      <c r="C348" s="419"/>
      <c r="D348" s="419"/>
      <c r="E348" s="58"/>
      <c r="F348" s="59" t="str">
        <f>CONCATENATE(CHOOSE(MOD(G348,10)+1,"癸","甲","乙","丙","丁","戊","己","庚","辛","壬"),(CHOOSE(MOD(G348,12)+1,"亥","子","丑","寅","卯","辰","巳","午","未","申","酉","戌")))</f>
        <v>丁亥</v>
      </c>
      <c r="G348" s="60">
        <f>MOD(G347+7+IF(I348="+1",1,0)-1,60)+1</f>
        <v>24</v>
      </c>
      <c r="H348" s="380">
        <f>MOD(H347+359.75,蔀月)</f>
        <v>268.75</v>
      </c>
      <c r="I348" s="61" t="str">
        <f>IF(H347+359.75&gt;=蔀月,"+1","")</f>
        <v>+1</v>
      </c>
      <c r="J348" s="415">
        <f t="shared" si="29"/>
        <v>28.590425531914892</v>
      </c>
      <c r="K348" s="410">
        <f t="shared" ref="K348:K379" si="32">K347+7+359.75/蔀月</f>
        <v>-11.520478723404256</v>
      </c>
      <c r="L348" s="408" t="str">
        <f t="shared" si="30"/>
        <v>大雪</v>
      </c>
      <c r="M348" s="415">
        <f t="shared" si="31"/>
        <v>27.25</v>
      </c>
      <c r="N348" s="416" t="str">
        <f t="shared" ref="N348:N354" si="33">IF(J348&lt;M348,"筭上為日","")</f>
        <v/>
      </c>
      <c r="P348"/>
      <c r="Q348"/>
      <c r="R348"/>
      <c r="S348"/>
      <c r="T348"/>
      <c r="U348"/>
      <c r="V348"/>
      <c r="AB348"/>
      <c r="AC348"/>
      <c r="AD348" s="57"/>
      <c r="AE348"/>
    </row>
    <row r="349" spans="1:31" s="56" customFormat="1" ht="11.4" customHeight="1">
      <c r="B349" s="378" t="s">
        <v>103</v>
      </c>
      <c r="C349" s="419"/>
      <c r="D349" s="419"/>
      <c r="E349" s="58"/>
      <c r="F349" s="59" t="str">
        <f>CONCATENATE(CHOOSE(MOD(G349,10)+1,"癸","甲","乙","丙","丁","戊","己","庚","辛","壬"),(CHOOSE(MOD(G349,12)+1,"亥","子","丑","寅","卯","辰","巳","午","未","申","酉","戌")))</f>
        <v>甲午</v>
      </c>
      <c r="G349" s="60">
        <f t="shared" ref="G349:G350" si="34">MOD(G348+7+IF(I349="+1",1,0)-1,60)+1</f>
        <v>31</v>
      </c>
      <c r="H349" s="380">
        <f>MOD(H348+359.75,蔀月)</f>
        <v>628.5</v>
      </c>
      <c r="I349" s="61" t="str">
        <f>IF(H348+359.75&gt;=蔀月,"+1","")</f>
        <v/>
      </c>
      <c r="J349" s="415">
        <f t="shared" si="29"/>
        <v>66.861702127659569</v>
      </c>
      <c r="K349" s="410">
        <f t="shared" si="32"/>
        <v>-4.1377659574468098</v>
      </c>
      <c r="L349" s="408" t="str">
        <f t="shared" si="30"/>
        <v>冬至</v>
      </c>
      <c r="M349" s="415">
        <f t="shared" si="31"/>
        <v>27.5</v>
      </c>
      <c r="N349" s="416" t="str">
        <f t="shared" si="33"/>
        <v/>
      </c>
      <c r="P349"/>
      <c r="Q349"/>
      <c r="R349"/>
      <c r="S349"/>
      <c r="T349"/>
      <c r="U349"/>
      <c r="V349"/>
      <c r="AB349"/>
      <c r="AC349"/>
      <c r="AD349" s="57"/>
      <c r="AE349"/>
    </row>
    <row r="350" spans="1:31" s="56" customFormat="1" ht="11.4" customHeight="1">
      <c r="B350" s="378" t="s">
        <v>104</v>
      </c>
      <c r="C350" s="419"/>
      <c r="D350" s="419"/>
      <c r="E350" s="58"/>
      <c r="F350" s="59" t="str">
        <f>CONCATENATE(CHOOSE(MOD(G350,10)+1,"癸","甲","乙","丙","丁","戊","己","庚","辛","壬"),(CHOOSE(MOD(G350,12)+1,"亥","子","丑","寅","卯","辰","巳","午","未","申","酉","戌")))</f>
        <v>壬寅</v>
      </c>
      <c r="G350" s="60">
        <f t="shared" si="34"/>
        <v>39</v>
      </c>
      <c r="H350" s="380">
        <f>MOD(H349+359.75,蔀月)</f>
        <v>48.25</v>
      </c>
      <c r="I350" s="61" t="str">
        <f>IF(H349+359.75&gt;=蔀月,"+1","")</f>
        <v>+1</v>
      </c>
      <c r="J350" s="415">
        <f t="shared" si="29"/>
        <v>5.1329787234042552</v>
      </c>
      <c r="K350" s="410">
        <f t="shared" si="32"/>
        <v>3.2449468085106372</v>
      </c>
      <c r="L350" s="408" t="str">
        <f t="shared" si="30"/>
        <v>冬至</v>
      </c>
      <c r="M350" s="415">
        <f t="shared" si="31"/>
        <v>27.5</v>
      </c>
      <c r="N350" s="416" t="str">
        <f t="shared" si="33"/>
        <v>筭上為日</v>
      </c>
      <c r="P350"/>
      <c r="Q350"/>
      <c r="R350"/>
      <c r="S350"/>
      <c r="T350"/>
      <c r="U350"/>
      <c r="V350"/>
      <c r="AB350"/>
      <c r="AC350"/>
      <c r="AD350" s="57"/>
      <c r="AE350"/>
    </row>
    <row r="351" spans="1:31" s="56" customFormat="1" ht="11.4" customHeight="1">
      <c r="B351" s="368" t="s">
        <v>62</v>
      </c>
      <c r="C351" s="419">
        <f>C347+1</f>
        <v>2</v>
      </c>
      <c r="D351" s="419">
        <f>IF(C351=$I$320+1,D347,MOD(D347,12)+1)</f>
        <v>12</v>
      </c>
      <c r="E351" s="62" t="str">
        <f>CONCATENATE(IF(ABS(D351-C351)&gt;8,"前年",""),IF(D351=D347,"閏",""),CHOOSE(D351,"正","二","三","四","五","六","七","八","九","十","十一","十二"),"月")</f>
        <v>前年十二月</v>
      </c>
      <c r="F351" s="369" t="str">
        <f>INDEX(G$239:G$251,MATCH($C351,$B$239:$B$251))</f>
        <v>己酉</v>
      </c>
      <c r="G351" s="370">
        <f>INDEX(H$239:H$251,MATCH($C351,$B$239:$B$251))</f>
        <v>46</v>
      </c>
      <c r="H351" s="371">
        <f>INDEX(E$239:E$251,MATCH($C351,$B$239:$B$251))</f>
        <v>408</v>
      </c>
      <c r="I351" s="372"/>
      <c r="J351" s="417">
        <f t="shared" si="29"/>
        <v>43.404255319148938</v>
      </c>
      <c r="K351" s="410">
        <f t="shared" si="32"/>
        <v>10.627659574468083</v>
      </c>
      <c r="L351" s="408" t="str">
        <f t="shared" si="30"/>
        <v>小寒</v>
      </c>
      <c r="M351" s="417">
        <f t="shared" si="31"/>
        <v>27.1</v>
      </c>
      <c r="N351" s="207" t="str">
        <f t="shared" si="33"/>
        <v/>
      </c>
      <c r="P351"/>
      <c r="Q351"/>
      <c r="R351"/>
      <c r="S351"/>
      <c r="T351"/>
      <c r="U351"/>
      <c r="V351"/>
      <c r="AB351"/>
      <c r="AC351"/>
      <c r="AD351" s="57"/>
      <c r="AE351"/>
    </row>
    <row r="352" spans="1:31" s="56" customFormat="1" ht="11.4" customHeight="1">
      <c r="B352" s="347" t="s">
        <v>102</v>
      </c>
      <c r="C352" s="419"/>
      <c r="D352" s="419"/>
      <c r="E352" s="63"/>
      <c r="F352" s="53" t="str">
        <f>CONCATENATE(CHOOSE(MOD(G352,10)+1,"癸","甲","乙","丙","丁","戊","己","庚","辛","壬"),(CHOOSE(MOD(G352,12)+1,"亥","子","丑","寅","卯","辰","巳","午","未","申","酉","戌")))</f>
        <v>丙辰</v>
      </c>
      <c r="G352" s="54">
        <f>MOD(G351+7+IF(I352="+1",1,0)-1,60)+1</f>
        <v>53</v>
      </c>
      <c r="H352" s="381">
        <f>MOD(H351+359.75,蔀月)</f>
        <v>767.75</v>
      </c>
      <c r="I352" s="64" t="str">
        <f>IF(H351+359.75&gt;=蔀月,"+1","")</f>
        <v/>
      </c>
      <c r="J352" s="417">
        <f t="shared" si="29"/>
        <v>81.675531914893611</v>
      </c>
      <c r="K352" s="410">
        <f t="shared" si="32"/>
        <v>18.01037234042553</v>
      </c>
      <c r="L352" s="408" t="str">
        <f t="shared" si="30"/>
        <v>小寒</v>
      </c>
      <c r="M352" s="417">
        <f t="shared" si="31"/>
        <v>27.1</v>
      </c>
      <c r="N352" s="207" t="str">
        <f t="shared" si="33"/>
        <v/>
      </c>
      <c r="P352"/>
      <c r="Q352"/>
      <c r="R352"/>
      <c r="S352"/>
      <c r="T352"/>
      <c r="U352"/>
      <c r="V352"/>
      <c r="AB352"/>
      <c r="AC352"/>
      <c r="AD352" s="57"/>
      <c r="AE352"/>
    </row>
    <row r="353" spans="2:31" s="56" customFormat="1" ht="11.4" customHeight="1">
      <c r="B353" s="347" t="s">
        <v>103</v>
      </c>
      <c r="C353" s="419"/>
      <c r="D353" s="419"/>
      <c r="E353" s="63"/>
      <c r="F353" s="53" t="str">
        <f>CONCATENATE(CHOOSE(MOD(G353,10)+1,"癸","甲","乙","丙","丁","戊","己","庚","辛","壬"),(CHOOSE(MOD(G353,12)+1,"亥","子","丑","寅","卯","辰","巳","午","未","申","酉","戌")))</f>
        <v>甲子</v>
      </c>
      <c r="G353" s="54">
        <f t="shared" ref="G353:G354" si="35">MOD(G352+7+IF(I353="+1",1,0)-1,60)+1</f>
        <v>1</v>
      </c>
      <c r="H353" s="381">
        <f>MOD(H352+359.75,蔀月)</f>
        <v>187.5</v>
      </c>
      <c r="I353" s="64" t="str">
        <f>IF(H352+359.75&gt;=蔀月,"+1","")</f>
        <v>+1</v>
      </c>
      <c r="J353" s="417">
        <f t="shared" si="29"/>
        <v>19.946808510638299</v>
      </c>
      <c r="K353" s="410">
        <f t="shared" si="32"/>
        <v>25.393085106382976</v>
      </c>
      <c r="L353" s="408" t="str">
        <f t="shared" si="30"/>
        <v>大寒</v>
      </c>
      <c r="M353" s="417">
        <f t="shared" si="31"/>
        <v>26.6</v>
      </c>
      <c r="N353" s="207" t="str">
        <f t="shared" si="33"/>
        <v>筭上為日</v>
      </c>
      <c r="P353"/>
      <c r="Q353"/>
      <c r="R353"/>
      <c r="S353"/>
      <c r="T353"/>
      <c r="U353"/>
      <c r="V353"/>
      <c r="AB353"/>
      <c r="AC353"/>
      <c r="AD353" s="57"/>
      <c r="AE353"/>
    </row>
    <row r="354" spans="2:31" s="56" customFormat="1" ht="11.4" customHeight="1">
      <c r="B354" s="347" t="s">
        <v>104</v>
      </c>
      <c r="C354" s="419"/>
      <c r="D354" s="419"/>
      <c r="E354" s="63"/>
      <c r="F354" s="53" t="str">
        <f>CONCATENATE(CHOOSE(MOD(G354,10)+1,"癸","甲","乙","丙","丁","戊","己","庚","辛","壬"),(CHOOSE(MOD(G354,12)+1,"亥","子","丑","寅","卯","辰","巳","午","未","申","酉","戌")))</f>
        <v>辛未</v>
      </c>
      <c r="G354" s="54">
        <f t="shared" si="35"/>
        <v>8</v>
      </c>
      <c r="H354" s="381">
        <f>MOD(H353+359.75,蔀月)</f>
        <v>547.25</v>
      </c>
      <c r="I354" s="64" t="str">
        <f>IF(H353+359.75&gt;=蔀月,"+1","")</f>
        <v/>
      </c>
      <c r="J354" s="417">
        <f t="shared" si="29"/>
        <v>58.218085106382979</v>
      </c>
      <c r="K354" s="410">
        <f t="shared" si="32"/>
        <v>32.775797872340426</v>
      </c>
      <c r="L354" s="408" t="str">
        <f t="shared" si="30"/>
        <v>大寒</v>
      </c>
      <c r="M354" s="417">
        <f t="shared" si="31"/>
        <v>26.6</v>
      </c>
      <c r="N354" s="207" t="str">
        <f t="shared" si="33"/>
        <v/>
      </c>
      <c r="P354"/>
      <c r="Q354"/>
      <c r="R354"/>
      <c r="S354"/>
      <c r="T354"/>
      <c r="U354"/>
      <c r="V354"/>
      <c r="AB354"/>
      <c r="AC354"/>
      <c r="AD354" s="57"/>
      <c r="AE354"/>
    </row>
    <row r="355" spans="2:31" s="56" customFormat="1" ht="11.4" customHeight="1">
      <c r="B355" s="373" t="s">
        <v>63</v>
      </c>
      <c r="C355" s="419">
        <f>C351+1</f>
        <v>3</v>
      </c>
      <c r="D355" s="419">
        <f>IF(C355=$I$320+1,D351,MOD(D351,12)+1)</f>
        <v>1</v>
      </c>
      <c r="E355" s="401" t="str">
        <f>CONCATENATE(IF(ABS(D355-C355)&gt;8,"前年",""),IF(D355=D351,"閏",""),CHOOSE(D355,"正","二","三","四","五","六","七","八","九","十","十一","十二"),"月")</f>
        <v>正月</v>
      </c>
      <c r="F355" s="374" t="str">
        <f>INDEX(G$239:G$251,MATCH($C355,$B$239:$B$251))</f>
        <v>戊寅</v>
      </c>
      <c r="G355" s="375">
        <f>INDEX(H$239:H$251,MATCH($C355,$B$239:$B$251))</f>
        <v>15</v>
      </c>
      <c r="H355" s="376">
        <f>INDEX(E$239:E$251,MATCH($C355,$B$239:$B$251))</f>
        <v>907</v>
      </c>
      <c r="I355" s="377"/>
      <c r="J355" s="415">
        <f t="shared" si="29"/>
        <v>96.489361702127653</v>
      </c>
      <c r="K355" s="410">
        <f t="shared" si="32"/>
        <v>40.158510638297876</v>
      </c>
      <c r="L355" s="408" t="str">
        <f t="shared" si="30"/>
        <v>立春</v>
      </c>
      <c r="M355" s="415">
        <f t="shared" si="31"/>
        <v>25.7</v>
      </c>
      <c r="N355" s="416" t="str">
        <f>IF(J355&lt;M355,"筭上為日","")</f>
        <v/>
      </c>
      <c r="P355"/>
      <c r="Q355"/>
      <c r="R355"/>
      <c r="S355"/>
      <c r="T355"/>
      <c r="U355"/>
      <c r="V355"/>
      <c r="AB355"/>
      <c r="AC355"/>
      <c r="AD355" s="57"/>
      <c r="AE355"/>
    </row>
    <row r="356" spans="2:31" s="56" customFormat="1" ht="11.4" customHeight="1">
      <c r="B356" s="378" t="s">
        <v>102</v>
      </c>
      <c r="C356" s="419"/>
      <c r="D356" s="419"/>
      <c r="E356" s="58"/>
      <c r="F356" s="59" t="str">
        <f>CONCATENATE(CHOOSE(MOD(G356,10)+1,"癸","甲","乙","丙","丁","戊","己","庚","辛","壬"),(CHOOSE(MOD(G356,12)+1,"亥","子","丑","寅","卯","辰","巳","午","未","申","酉","戌")))</f>
        <v>丙戌</v>
      </c>
      <c r="G356" s="60">
        <f>MOD(G355+7+IF(I356="+1",1,0)-1,60)+1</f>
        <v>23</v>
      </c>
      <c r="H356" s="380">
        <f>MOD(H355+359.75,蔀月)</f>
        <v>326.75</v>
      </c>
      <c r="I356" s="61" t="str">
        <f>IF(H355+359.75&gt;=蔀月,"+1","")</f>
        <v>+1</v>
      </c>
      <c r="J356" s="415">
        <f t="shared" si="29"/>
        <v>34.76063829787234</v>
      </c>
      <c r="K356" s="410">
        <f t="shared" si="32"/>
        <v>47.541223404255327</v>
      </c>
      <c r="L356" s="408" t="str">
        <f t="shared" si="30"/>
        <v>立春</v>
      </c>
      <c r="M356" s="415">
        <f t="shared" si="31"/>
        <v>25.7</v>
      </c>
      <c r="N356" s="416" t="str">
        <f t="shared" ref="N356:N362" si="36">IF(J356&lt;M356,"筭上為日","")</f>
        <v/>
      </c>
      <c r="P356"/>
      <c r="Q356"/>
      <c r="R356"/>
      <c r="S356"/>
      <c r="T356"/>
      <c r="U356"/>
      <c r="V356"/>
      <c r="AB356"/>
      <c r="AC356"/>
      <c r="AD356" s="57"/>
      <c r="AE356"/>
    </row>
    <row r="357" spans="2:31" s="56" customFormat="1" ht="11.4" customHeight="1">
      <c r="B357" s="378" t="s">
        <v>103</v>
      </c>
      <c r="C357" s="419"/>
      <c r="D357" s="419"/>
      <c r="E357" s="58"/>
      <c r="F357" s="59" t="str">
        <f>CONCATENATE(CHOOSE(MOD(G357,10)+1,"癸","甲","乙","丙","丁","戊","己","庚","辛","壬"),(CHOOSE(MOD(G357,12)+1,"亥","子","丑","寅","卯","辰","巳","午","未","申","酉","戌")))</f>
        <v>癸巳</v>
      </c>
      <c r="G357" s="60">
        <f t="shared" ref="G357:G358" si="37">MOD(G356+7+IF(I357="+1",1,0)-1,60)+1</f>
        <v>30</v>
      </c>
      <c r="H357" s="380">
        <f>MOD(H356+359.75,蔀月)</f>
        <v>686.5</v>
      </c>
      <c r="I357" s="61" t="str">
        <f>IF(H356+359.75&gt;=蔀月,"+1","")</f>
        <v/>
      </c>
      <c r="J357" s="415">
        <f t="shared" si="29"/>
        <v>73.031914893617028</v>
      </c>
      <c r="K357" s="410">
        <f t="shared" si="32"/>
        <v>54.923936170212777</v>
      </c>
      <c r="L357" s="408" t="str">
        <f t="shared" si="30"/>
        <v>雨水</v>
      </c>
      <c r="M357" s="415">
        <f t="shared" si="31"/>
        <v>24.6</v>
      </c>
      <c r="N357" s="416" t="str">
        <f t="shared" si="36"/>
        <v/>
      </c>
      <c r="P357"/>
      <c r="Q357"/>
      <c r="R357"/>
      <c r="S357"/>
      <c r="T357"/>
      <c r="U357"/>
      <c r="V357"/>
      <c r="AB357"/>
      <c r="AC357"/>
      <c r="AD357" s="57"/>
      <c r="AE357"/>
    </row>
    <row r="358" spans="2:31" s="56" customFormat="1" ht="11.4" customHeight="1">
      <c r="B358" s="378" t="s">
        <v>104</v>
      </c>
      <c r="C358" s="419"/>
      <c r="D358" s="419"/>
      <c r="E358" s="58"/>
      <c r="F358" s="59" t="str">
        <f>CONCATENATE(CHOOSE(MOD(G358,10)+1,"癸","甲","乙","丙","丁","戊","己","庚","辛","壬"),(CHOOSE(MOD(G358,12)+1,"亥","子","丑","寅","卯","辰","巳","午","未","申","酉","戌")))</f>
        <v>辛丑</v>
      </c>
      <c r="G358" s="60">
        <f t="shared" si="37"/>
        <v>38</v>
      </c>
      <c r="H358" s="380">
        <f>MOD(H357+359.75,蔀月)</f>
        <v>106.25</v>
      </c>
      <c r="I358" s="61" t="str">
        <f>IF(H357+359.75&gt;=蔀月,"+1","")</f>
        <v>+1</v>
      </c>
      <c r="J358" s="415">
        <f t="shared" si="29"/>
        <v>11.303191489361701</v>
      </c>
      <c r="K358" s="410">
        <f t="shared" si="32"/>
        <v>62.306648936170227</v>
      </c>
      <c r="L358" s="408" t="str">
        <f t="shared" si="30"/>
        <v>雨水</v>
      </c>
      <c r="M358" s="415">
        <f t="shared" si="31"/>
        <v>24.6</v>
      </c>
      <c r="N358" s="416" t="str">
        <f t="shared" si="36"/>
        <v>筭上為日</v>
      </c>
      <c r="P358"/>
      <c r="Q358"/>
      <c r="R358"/>
      <c r="S358"/>
      <c r="T358"/>
      <c r="U358"/>
      <c r="V358"/>
      <c r="AB358"/>
      <c r="AC358"/>
      <c r="AD358" s="57"/>
      <c r="AE358"/>
    </row>
    <row r="359" spans="2:31" s="56" customFormat="1" ht="11.4" customHeight="1">
      <c r="B359" s="368" t="s">
        <v>64</v>
      </c>
      <c r="C359" s="419">
        <f>C355+1</f>
        <v>4</v>
      </c>
      <c r="D359" s="419">
        <f>IF(C359=$I$320+1,D355,MOD(D355,12)+1)</f>
        <v>2</v>
      </c>
      <c r="E359" s="62" t="str">
        <f>CONCATENATE(IF(ABS(D359-C359)&gt;8,"前年",""),IF(D359=D355,"閏",""),CHOOSE(D359,"正","二","三","四","五","六","七","八","九","十","十一","十二"),"月")</f>
        <v>二月</v>
      </c>
      <c r="F359" s="369" t="str">
        <f>INDEX(G$239:G$251,MATCH($C359,$B$239:$B$251))</f>
        <v>戊申</v>
      </c>
      <c r="G359" s="370">
        <f>INDEX(H$239:H$251,MATCH($C359,$B$239:$B$251))</f>
        <v>45</v>
      </c>
      <c r="H359" s="371">
        <f>INDEX(E$239:E$251,MATCH($C359,$B$239:$B$251))</f>
        <v>466</v>
      </c>
      <c r="I359" s="372"/>
      <c r="J359" s="417">
        <f t="shared" si="29"/>
        <v>49.574468085106382</v>
      </c>
      <c r="K359" s="410">
        <f t="shared" si="32"/>
        <v>69.689361702127684</v>
      </c>
      <c r="L359" s="408" t="str">
        <f t="shared" si="30"/>
        <v>驚蟄</v>
      </c>
      <c r="M359" s="417">
        <f t="shared" si="31"/>
        <v>23.35</v>
      </c>
      <c r="N359" s="207" t="str">
        <f t="shared" si="36"/>
        <v/>
      </c>
      <c r="P359"/>
      <c r="Q359"/>
      <c r="R359"/>
      <c r="S359"/>
      <c r="T359"/>
      <c r="U359"/>
      <c r="V359"/>
      <c r="AB359"/>
      <c r="AC359"/>
      <c r="AD359" s="57"/>
      <c r="AE359"/>
    </row>
    <row r="360" spans="2:31" s="56" customFormat="1" ht="11.4" customHeight="1">
      <c r="B360" s="347" t="s">
        <v>102</v>
      </c>
      <c r="C360" s="419"/>
      <c r="D360" s="419"/>
      <c r="E360" s="63"/>
      <c r="F360" s="53" t="str">
        <f>CONCATENATE(CHOOSE(MOD(G360,10)+1,"癸","甲","乙","丙","丁","戊","己","庚","辛","壬"),(CHOOSE(MOD(G360,12)+1,"亥","子","丑","寅","卯","辰","巳","午","未","申","酉","戌")))</f>
        <v>乙卯</v>
      </c>
      <c r="G360" s="54">
        <f>MOD(G359+7+IF(I360="+1",1,0)-1,60)+1</f>
        <v>52</v>
      </c>
      <c r="H360" s="381">
        <f>MOD(H359+359.75,蔀月)</f>
        <v>825.75</v>
      </c>
      <c r="I360" s="64" t="str">
        <f>IF(H359+359.75&gt;=蔀月,"+1","")</f>
        <v/>
      </c>
      <c r="J360" s="417">
        <f t="shared" si="29"/>
        <v>87.84574468085107</v>
      </c>
      <c r="K360" s="410">
        <f t="shared" si="32"/>
        <v>77.072074468085134</v>
      </c>
      <c r="L360" s="408" t="str">
        <f t="shared" si="30"/>
        <v>驚蟄</v>
      </c>
      <c r="M360" s="417">
        <f t="shared" si="31"/>
        <v>23.35</v>
      </c>
      <c r="N360" s="207" t="str">
        <f t="shared" si="36"/>
        <v/>
      </c>
      <c r="P360"/>
      <c r="Q360"/>
      <c r="R360"/>
      <c r="S360"/>
      <c r="T360"/>
      <c r="U360"/>
      <c r="V360"/>
      <c r="AB360"/>
      <c r="AC360"/>
      <c r="AD360" s="57"/>
      <c r="AE360"/>
    </row>
    <row r="361" spans="2:31" s="56" customFormat="1" ht="11.4" customHeight="1">
      <c r="B361" s="347" t="s">
        <v>103</v>
      </c>
      <c r="C361" s="419"/>
      <c r="D361" s="419"/>
      <c r="E361" s="63"/>
      <c r="F361" s="53" t="str">
        <f>CONCATENATE(CHOOSE(MOD(G361,10)+1,"癸","甲","乙","丙","丁","戊","己","庚","辛","壬"),(CHOOSE(MOD(G361,12)+1,"亥","子","丑","寅","卯","辰","巳","午","未","申","酉","戌")))</f>
        <v>癸亥</v>
      </c>
      <c r="G361" s="54">
        <f t="shared" ref="G361:G362" si="38">MOD(G360+7+IF(I361="+1",1,0)-1,60)+1</f>
        <v>60</v>
      </c>
      <c r="H361" s="381">
        <f>MOD(H360+359.75,蔀月)</f>
        <v>245.5</v>
      </c>
      <c r="I361" s="64" t="str">
        <f>IF(H360+359.75&gt;=蔀月,"+1","")</f>
        <v>+1</v>
      </c>
      <c r="J361" s="417">
        <f t="shared" si="29"/>
        <v>26.117021276595743</v>
      </c>
      <c r="K361" s="410">
        <f t="shared" si="32"/>
        <v>84.454787234042584</v>
      </c>
      <c r="L361" s="408" t="str">
        <f t="shared" si="30"/>
        <v>春分</v>
      </c>
      <c r="M361" s="417">
        <f t="shared" si="31"/>
        <v>22.1</v>
      </c>
      <c r="N361" s="207" t="str">
        <f t="shared" si="36"/>
        <v/>
      </c>
      <c r="P361"/>
      <c r="Q361"/>
      <c r="R361"/>
      <c r="S361"/>
      <c r="T361"/>
      <c r="U361"/>
      <c r="V361"/>
      <c r="AB361"/>
      <c r="AC361"/>
      <c r="AD361" s="57"/>
      <c r="AE361"/>
    </row>
    <row r="362" spans="2:31" s="56" customFormat="1" ht="11.4" customHeight="1">
      <c r="B362" s="347" t="s">
        <v>104</v>
      </c>
      <c r="C362" s="419"/>
      <c r="D362" s="419"/>
      <c r="E362" s="63"/>
      <c r="F362" s="53" t="str">
        <f>CONCATENATE(CHOOSE(MOD(G362,10)+1,"癸","甲","乙","丙","丁","戊","己","庚","辛","壬"),(CHOOSE(MOD(G362,12)+1,"亥","子","丑","寅","卯","辰","巳","午","未","申","酉","戌")))</f>
        <v>庚午</v>
      </c>
      <c r="G362" s="54">
        <f t="shared" si="38"/>
        <v>7</v>
      </c>
      <c r="H362" s="381">
        <f>MOD(H361+359.75,蔀月)</f>
        <v>605.25</v>
      </c>
      <c r="I362" s="64" t="str">
        <f>IF(H361+359.75&gt;=蔀月,"+1","")</f>
        <v/>
      </c>
      <c r="J362" s="417">
        <f t="shared" si="29"/>
        <v>64.388297872340431</v>
      </c>
      <c r="K362" s="410">
        <f t="shared" si="32"/>
        <v>91.837500000000034</v>
      </c>
      <c r="L362" s="408" t="str">
        <f t="shared" si="30"/>
        <v>春分</v>
      </c>
      <c r="M362" s="417">
        <f t="shared" si="31"/>
        <v>22.1</v>
      </c>
      <c r="N362" s="207" t="str">
        <f t="shared" si="36"/>
        <v/>
      </c>
      <c r="P362"/>
      <c r="Q362"/>
      <c r="R362"/>
      <c r="S362"/>
      <c r="T362"/>
      <c r="U362"/>
      <c r="V362"/>
      <c r="AB362"/>
      <c r="AC362"/>
      <c r="AD362" s="57"/>
      <c r="AE362"/>
    </row>
    <row r="363" spans="2:31" s="56" customFormat="1" ht="11.4" customHeight="1">
      <c r="B363" s="373" t="s">
        <v>65</v>
      </c>
      <c r="C363" s="419">
        <f>C359+1</f>
        <v>5</v>
      </c>
      <c r="D363" s="419">
        <f>IF(C363=$I$320+1,D359,MOD(D359,12)+1)</f>
        <v>3</v>
      </c>
      <c r="E363" s="401" t="str">
        <f>CONCATENATE(IF(ABS(D363-C363)&gt;8,"前年",""),IF(D363=D359,"閏",""),CHOOSE(D363,"正","二","三","四","五","六","七","八","九","十","十一","十二"),"月")</f>
        <v>三月</v>
      </c>
      <c r="F363" s="374" t="str">
        <f>INDEX(G$239:G$251,MATCH($C363,$B$239:$B$251))</f>
        <v>戊寅</v>
      </c>
      <c r="G363" s="375">
        <f>INDEX(H$239:H$251,MATCH($C363,$B$239:$B$251))</f>
        <v>15</v>
      </c>
      <c r="H363" s="376">
        <f>INDEX(E$239:E$251,MATCH($C363,$B$239:$B$251))</f>
        <v>25</v>
      </c>
      <c r="I363" s="377"/>
      <c r="J363" s="415">
        <f t="shared" si="29"/>
        <v>2.6595744680851063</v>
      </c>
      <c r="K363" s="410">
        <f t="shared" si="32"/>
        <v>99.220212765957484</v>
      </c>
      <c r="L363" s="408" t="str">
        <f t="shared" si="30"/>
        <v>清明</v>
      </c>
      <c r="M363" s="415">
        <f t="shared" si="31"/>
        <v>20.85</v>
      </c>
      <c r="N363" s="416" t="str">
        <f>IF(J363&lt;M363,"筭上為日","")</f>
        <v>筭上為日</v>
      </c>
      <c r="P363"/>
      <c r="Q363"/>
      <c r="R363"/>
      <c r="S363"/>
      <c r="T363"/>
      <c r="U363"/>
      <c r="V363"/>
      <c r="AB363"/>
      <c r="AC363"/>
      <c r="AD363" s="57"/>
      <c r="AE363"/>
    </row>
    <row r="364" spans="2:31" s="56" customFormat="1" ht="11.4" customHeight="1">
      <c r="B364" s="378" t="s">
        <v>102</v>
      </c>
      <c r="C364" s="419"/>
      <c r="D364" s="419"/>
      <c r="E364" s="58"/>
      <c r="F364" s="59" t="str">
        <f>CONCATENATE(CHOOSE(MOD(G364,10)+1,"癸","甲","乙","丙","丁","戊","己","庚","辛","壬"),(CHOOSE(MOD(G364,12)+1,"亥","子","丑","寅","卯","辰","巳","午","未","申","酉","戌")))</f>
        <v>乙酉</v>
      </c>
      <c r="G364" s="60">
        <f>MOD(G363+7+IF(I364="+1",1,0)-1,60)+1</f>
        <v>22</v>
      </c>
      <c r="H364" s="380">
        <f>MOD(H363+359.75,蔀月)</f>
        <v>384.75</v>
      </c>
      <c r="I364" s="61" t="str">
        <f>IF(H363+359.75&gt;=蔀月,"+1","")</f>
        <v/>
      </c>
      <c r="J364" s="415">
        <f t="shared" si="29"/>
        <v>40.930851063829785</v>
      </c>
      <c r="K364" s="410">
        <f t="shared" si="32"/>
        <v>106.60292553191493</v>
      </c>
      <c r="L364" s="408" t="str">
        <f t="shared" si="30"/>
        <v>清明</v>
      </c>
      <c r="M364" s="415">
        <f t="shared" si="31"/>
        <v>20.85</v>
      </c>
      <c r="N364" s="416" t="str">
        <f t="shared" ref="N364:N370" si="39">IF(J364&lt;M364,"筭上為日","")</f>
        <v/>
      </c>
      <c r="P364"/>
      <c r="Q364"/>
      <c r="R364"/>
      <c r="S364"/>
      <c r="T364"/>
      <c r="U364"/>
      <c r="V364"/>
      <c r="AB364"/>
      <c r="AC364"/>
      <c r="AD364" s="57"/>
      <c r="AE364"/>
    </row>
    <row r="365" spans="2:31" s="56" customFormat="1" ht="11.4" customHeight="1">
      <c r="B365" s="378" t="s">
        <v>103</v>
      </c>
      <c r="C365" s="419"/>
      <c r="D365" s="419"/>
      <c r="E365" s="58"/>
      <c r="F365" s="59" t="str">
        <f>CONCATENATE(CHOOSE(MOD(G365,10)+1,"癸","甲","乙","丙","丁","戊","己","庚","辛","壬"),(CHOOSE(MOD(G365,12)+1,"亥","子","丑","寅","卯","辰","巳","午","未","申","酉","戌")))</f>
        <v>壬辰</v>
      </c>
      <c r="G365" s="60">
        <f t="shared" ref="G365:G366" si="40">MOD(G364+7+IF(I365="+1",1,0)-1,60)+1</f>
        <v>29</v>
      </c>
      <c r="H365" s="380">
        <f>MOD(H364+359.75,蔀月)</f>
        <v>744.5</v>
      </c>
      <c r="I365" s="61" t="str">
        <f>IF(H364+359.75&gt;=蔀月,"+1","")</f>
        <v/>
      </c>
      <c r="J365" s="415">
        <f t="shared" si="29"/>
        <v>79.202127659574472</v>
      </c>
      <c r="K365" s="410">
        <f t="shared" si="32"/>
        <v>113.98563829787238</v>
      </c>
      <c r="L365" s="408" t="str">
        <f t="shared" si="30"/>
        <v>清明</v>
      </c>
      <c r="M365" s="415">
        <f t="shared" si="31"/>
        <v>20.85</v>
      </c>
      <c r="N365" s="416" t="str">
        <f t="shared" si="39"/>
        <v/>
      </c>
      <c r="P365"/>
      <c r="Q365"/>
      <c r="R365"/>
      <c r="S365"/>
      <c r="T365"/>
      <c r="U365"/>
      <c r="V365"/>
      <c r="AB365"/>
      <c r="AC365"/>
      <c r="AD365" s="57"/>
      <c r="AE365"/>
    </row>
    <row r="366" spans="2:31" s="56" customFormat="1" ht="11.4" customHeight="1">
      <c r="B366" s="378" t="s">
        <v>104</v>
      </c>
      <c r="C366" s="419"/>
      <c r="D366" s="419"/>
      <c r="E366" s="58"/>
      <c r="F366" s="59" t="str">
        <f>CONCATENATE(CHOOSE(MOD(G366,10)+1,"癸","甲","乙","丙","丁","戊","己","庚","辛","壬"),(CHOOSE(MOD(G366,12)+1,"亥","子","丑","寅","卯","辰","巳","午","未","申","酉","戌")))</f>
        <v>庚子</v>
      </c>
      <c r="G366" s="60">
        <f t="shared" si="40"/>
        <v>37</v>
      </c>
      <c r="H366" s="380">
        <f>MOD(H365+359.75,蔀月)</f>
        <v>164.25</v>
      </c>
      <c r="I366" s="61" t="str">
        <f>IF(H365+359.75&gt;=蔀月,"+1","")</f>
        <v>+1</v>
      </c>
      <c r="J366" s="415">
        <f t="shared" si="29"/>
        <v>17.473404255319149</v>
      </c>
      <c r="K366" s="410">
        <f t="shared" si="32"/>
        <v>121.36835106382983</v>
      </c>
      <c r="L366" s="408" t="str">
        <f t="shared" si="30"/>
        <v>穀雨</v>
      </c>
      <c r="M366" s="415">
        <f t="shared" si="31"/>
        <v>19.75</v>
      </c>
      <c r="N366" s="416" t="str">
        <f t="shared" si="39"/>
        <v>筭上為日</v>
      </c>
      <c r="P366"/>
      <c r="Q366"/>
      <c r="R366"/>
      <c r="S366"/>
      <c r="T366"/>
      <c r="U366"/>
      <c r="V366"/>
      <c r="AB366"/>
      <c r="AC366"/>
      <c r="AD366" s="57"/>
      <c r="AE366"/>
    </row>
    <row r="367" spans="2:31" s="56" customFormat="1" ht="11.4" customHeight="1">
      <c r="B367" s="368" t="s">
        <v>66</v>
      </c>
      <c r="C367" s="419">
        <f>C363+1</f>
        <v>6</v>
      </c>
      <c r="D367" s="419">
        <f>IF(C367=$I$320+1,D363,MOD(D363,12)+1)</f>
        <v>4</v>
      </c>
      <c r="E367" s="62" t="str">
        <f>CONCATENATE(IF(ABS(D367-C367)&gt;8,"前年",""),IF(D367=D363,"閏",""),CHOOSE(D367,"正","二","三","四","五","六","七","八","九","十","十一","十二"),"月")</f>
        <v>四月</v>
      </c>
      <c r="F367" s="369" t="str">
        <f>INDEX(G$239:G$251,MATCH($C367,$B$239:$B$251))</f>
        <v>丁未</v>
      </c>
      <c r="G367" s="370">
        <f>INDEX(H$239:H$251,MATCH($C367,$B$239:$B$251))</f>
        <v>44</v>
      </c>
      <c r="H367" s="371">
        <f>INDEX(E$239:E$251,MATCH($C367,$B$239:$B$251))</f>
        <v>524</v>
      </c>
      <c r="I367" s="372"/>
      <c r="J367" s="417">
        <f t="shared" si="29"/>
        <v>55.744680851063826</v>
      </c>
      <c r="K367" s="410">
        <f t="shared" si="32"/>
        <v>128.75106382978728</v>
      </c>
      <c r="L367" s="408" t="str">
        <f t="shared" si="30"/>
        <v>穀雨</v>
      </c>
      <c r="M367" s="417">
        <f t="shared" si="31"/>
        <v>19.75</v>
      </c>
      <c r="N367" s="207" t="str">
        <f t="shared" si="39"/>
        <v/>
      </c>
      <c r="P367"/>
      <c r="Q367"/>
      <c r="R367"/>
      <c r="S367"/>
      <c r="T367"/>
      <c r="U367"/>
      <c r="V367"/>
      <c r="AB367"/>
      <c r="AC367"/>
      <c r="AD367" s="57"/>
      <c r="AE367"/>
    </row>
    <row r="368" spans="2:31" s="56" customFormat="1" ht="11.4" customHeight="1">
      <c r="B368" s="347" t="s">
        <v>102</v>
      </c>
      <c r="C368" s="419"/>
      <c r="D368" s="419"/>
      <c r="E368" s="63"/>
      <c r="F368" s="53" t="str">
        <f>CONCATENATE(CHOOSE(MOD(G368,10)+1,"癸","甲","乙","丙","丁","戊","己","庚","辛","壬"),(CHOOSE(MOD(G368,12)+1,"亥","子","丑","寅","卯","辰","巳","午","未","申","酉","戌")))</f>
        <v>甲寅</v>
      </c>
      <c r="G368" s="54">
        <f>MOD(G367+7+IF(I368="+1",1,0)-1,60)+1</f>
        <v>51</v>
      </c>
      <c r="H368" s="381">
        <f>MOD(H367+359.75,蔀月)</f>
        <v>883.75</v>
      </c>
      <c r="I368" s="64" t="str">
        <f>IF(H367+359.75&gt;=蔀月,"+1","")</f>
        <v/>
      </c>
      <c r="J368" s="417">
        <f t="shared" si="29"/>
        <v>94.015957446808514</v>
      </c>
      <c r="K368" s="410">
        <f t="shared" si="32"/>
        <v>136.13377659574473</v>
      </c>
      <c r="L368" s="408" t="str">
        <f t="shared" si="30"/>
        <v>立夏</v>
      </c>
      <c r="M368" s="417">
        <f t="shared" si="31"/>
        <v>18.8</v>
      </c>
      <c r="N368" s="207" t="str">
        <f t="shared" si="39"/>
        <v/>
      </c>
      <c r="P368"/>
      <c r="Q368"/>
      <c r="R368"/>
      <c r="S368"/>
      <c r="T368"/>
      <c r="U368"/>
      <c r="V368"/>
      <c r="AB368"/>
      <c r="AC368"/>
      <c r="AD368" s="57"/>
      <c r="AE368"/>
    </row>
    <row r="369" spans="2:31" s="56" customFormat="1" ht="11.4" customHeight="1">
      <c r="B369" s="347" t="s">
        <v>103</v>
      </c>
      <c r="C369" s="419"/>
      <c r="D369" s="419"/>
      <c r="E369" s="63"/>
      <c r="F369" s="53" t="str">
        <f>CONCATENATE(CHOOSE(MOD(G369,10)+1,"癸","甲","乙","丙","丁","戊","己","庚","辛","壬"),(CHOOSE(MOD(G369,12)+1,"亥","子","丑","寅","卯","辰","巳","午","未","申","酉","戌")))</f>
        <v>壬戌</v>
      </c>
      <c r="G369" s="54">
        <f t="shared" ref="G369:G370" si="41">MOD(G368+7+IF(I369="+1",1,0)-1,60)+1</f>
        <v>59</v>
      </c>
      <c r="H369" s="381">
        <f>MOD(H368+359.75,蔀月)</f>
        <v>303.5</v>
      </c>
      <c r="I369" s="64" t="str">
        <f>IF(H368+359.75&gt;=蔀月,"+1","")</f>
        <v>+1</v>
      </c>
      <c r="J369" s="417">
        <f t="shared" si="29"/>
        <v>32.287234042553195</v>
      </c>
      <c r="K369" s="410">
        <f t="shared" si="32"/>
        <v>143.51648936170218</v>
      </c>
      <c r="L369" s="408" t="str">
        <f t="shared" si="30"/>
        <v>立夏</v>
      </c>
      <c r="M369" s="417">
        <f t="shared" si="31"/>
        <v>18.8</v>
      </c>
      <c r="N369" s="207" t="str">
        <f t="shared" si="39"/>
        <v/>
      </c>
      <c r="P369"/>
      <c r="Q369"/>
      <c r="R369"/>
      <c r="S369"/>
      <c r="T369"/>
      <c r="U369"/>
      <c r="V369"/>
      <c r="AB369"/>
      <c r="AC369"/>
      <c r="AD369" s="57"/>
      <c r="AE369"/>
    </row>
    <row r="370" spans="2:31" s="56" customFormat="1" ht="11.4" customHeight="1">
      <c r="B370" s="347" t="s">
        <v>104</v>
      </c>
      <c r="C370" s="419"/>
      <c r="D370" s="419"/>
      <c r="E370" s="63"/>
      <c r="F370" s="53" t="str">
        <f>CONCATENATE(CHOOSE(MOD(G370,10)+1,"癸","甲","乙","丙","丁","戊","己","庚","辛","壬"),(CHOOSE(MOD(G370,12)+1,"亥","子","丑","寅","卯","辰","巳","午","未","申","酉","戌")))</f>
        <v>己巳</v>
      </c>
      <c r="G370" s="54">
        <f t="shared" si="41"/>
        <v>6</v>
      </c>
      <c r="H370" s="381">
        <f>MOD(H369+359.75,蔀月)</f>
        <v>663.25</v>
      </c>
      <c r="I370" s="64" t="str">
        <f>IF(H369+359.75&gt;=蔀月,"+1","")</f>
        <v/>
      </c>
      <c r="J370" s="417">
        <f t="shared" si="29"/>
        <v>70.558510638297875</v>
      </c>
      <c r="K370" s="410">
        <f t="shared" si="32"/>
        <v>150.89920212765963</v>
      </c>
      <c r="L370" s="408" t="str">
        <f t="shared" si="30"/>
        <v>小滿</v>
      </c>
      <c r="M370" s="417">
        <f t="shared" si="31"/>
        <v>18.05</v>
      </c>
      <c r="N370" s="207" t="str">
        <f t="shared" si="39"/>
        <v/>
      </c>
      <c r="P370"/>
      <c r="Q370"/>
      <c r="R370"/>
      <c r="S370"/>
      <c r="T370"/>
      <c r="U370"/>
      <c r="V370"/>
      <c r="AB370"/>
      <c r="AC370"/>
      <c r="AD370" s="57"/>
      <c r="AE370"/>
    </row>
    <row r="371" spans="2:31" s="56" customFormat="1" ht="11.4" customHeight="1">
      <c r="B371" s="373" t="s">
        <v>67</v>
      </c>
      <c r="C371" s="419">
        <f>C367+1</f>
        <v>7</v>
      </c>
      <c r="D371" s="419">
        <f>IF(C371=$I$320+1,D367,MOD(D367,12)+1)</f>
        <v>5</v>
      </c>
      <c r="E371" s="401" t="str">
        <f>CONCATENATE(IF(ABS(D371-C371)&gt;8,"前年",""),IF(D371=D367,"閏",""),CHOOSE(D371,"正","二","三","四","五","六","七","八","九","十","十一","十二"),"月")</f>
        <v>五月</v>
      </c>
      <c r="F371" s="374" t="str">
        <f>INDEX(G$239:G$251,MATCH($C371,$B$239:$B$251))</f>
        <v>丁丑</v>
      </c>
      <c r="G371" s="375">
        <f>INDEX(H$239:H$251,MATCH($C371,$B$239:$B$251))</f>
        <v>14</v>
      </c>
      <c r="H371" s="376">
        <f>INDEX(E$239:E$251,MATCH($C371,$B$239:$B$251))</f>
        <v>83</v>
      </c>
      <c r="I371" s="377"/>
      <c r="J371" s="415">
        <f t="shared" si="29"/>
        <v>8.8297872340425538</v>
      </c>
      <c r="K371" s="410">
        <f t="shared" si="32"/>
        <v>158.28191489361708</v>
      </c>
      <c r="L371" s="408" t="str">
        <f t="shared" si="30"/>
        <v>小滿</v>
      </c>
      <c r="M371" s="415">
        <f t="shared" si="31"/>
        <v>18.05</v>
      </c>
      <c r="N371" s="416" t="str">
        <f>IF(J371&lt;M371,"筭上為日","")</f>
        <v>筭上為日</v>
      </c>
      <c r="P371"/>
      <c r="Q371"/>
      <c r="R371"/>
      <c r="S371"/>
      <c r="T371"/>
      <c r="U371"/>
      <c r="V371"/>
      <c r="AB371"/>
      <c r="AC371"/>
      <c r="AD371" s="57"/>
      <c r="AE371"/>
    </row>
    <row r="372" spans="2:31" s="56" customFormat="1" ht="11.4" customHeight="1">
      <c r="B372" s="378" t="s">
        <v>102</v>
      </c>
      <c r="C372" s="419"/>
      <c r="D372" s="419"/>
      <c r="E372" s="58"/>
      <c r="F372" s="59" t="str">
        <f>CONCATENATE(CHOOSE(MOD(G372,10)+1,"癸","甲","乙","丙","丁","戊","己","庚","辛","壬"),(CHOOSE(MOD(G372,12)+1,"亥","子","丑","寅","卯","辰","巳","午","未","申","酉","戌")))</f>
        <v>甲申</v>
      </c>
      <c r="G372" s="60">
        <f>MOD(G371+7+IF(I372="+1",1,0)-1,60)+1</f>
        <v>21</v>
      </c>
      <c r="H372" s="380">
        <f>MOD(H371+359.75,蔀月)</f>
        <v>442.75</v>
      </c>
      <c r="I372" s="61" t="str">
        <f>IF(H371+359.75&gt;=蔀月,"+1","")</f>
        <v/>
      </c>
      <c r="J372" s="415">
        <f t="shared" si="29"/>
        <v>47.101063829787236</v>
      </c>
      <c r="K372" s="410">
        <f t="shared" si="32"/>
        <v>165.66462765957453</v>
      </c>
      <c r="L372" s="408" t="str">
        <f t="shared" si="30"/>
        <v>芒種</v>
      </c>
      <c r="M372" s="415">
        <f t="shared" si="31"/>
        <v>17.549999999999997</v>
      </c>
      <c r="N372" s="416" t="str">
        <f t="shared" ref="N372:N378" si="42">IF(J372&lt;M372,"筭上為日","")</f>
        <v/>
      </c>
      <c r="P372"/>
      <c r="Q372"/>
      <c r="R372"/>
      <c r="S372"/>
      <c r="T372"/>
      <c r="U372"/>
      <c r="V372"/>
      <c r="AB372"/>
      <c r="AC372"/>
      <c r="AD372" s="57"/>
      <c r="AE372"/>
    </row>
    <row r="373" spans="2:31" s="56" customFormat="1" ht="11.4" customHeight="1">
      <c r="B373" s="378" t="s">
        <v>103</v>
      </c>
      <c r="C373" s="419"/>
      <c r="D373" s="419"/>
      <c r="E373" s="58"/>
      <c r="F373" s="59" t="str">
        <f>CONCATENATE(CHOOSE(MOD(G373,10)+1,"癸","甲","乙","丙","丁","戊","己","庚","辛","壬"),(CHOOSE(MOD(G373,12)+1,"亥","子","丑","寅","卯","辰","巳","午","未","申","酉","戌")))</f>
        <v>辛卯</v>
      </c>
      <c r="G373" s="60">
        <f t="shared" ref="G373:G374" si="43">MOD(G372+7+IF(I373="+1",1,0)-1,60)+1</f>
        <v>28</v>
      </c>
      <c r="H373" s="380">
        <f>MOD(H372+359.75,蔀月)</f>
        <v>802.5</v>
      </c>
      <c r="I373" s="61" t="str">
        <f>IF(H372+359.75&gt;=蔀月,"+1","")</f>
        <v/>
      </c>
      <c r="J373" s="415">
        <f t="shared" si="29"/>
        <v>85.372340425531917</v>
      </c>
      <c r="K373" s="410">
        <f t="shared" si="32"/>
        <v>173.04734042553198</v>
      </c>
      <c r="L373" s="408" t="str">
        <f t="shared" si="30"/>
        <v>芒種</v>
      </c>
      <c r="M373" s="415">
        <f t="shared" si="31"/>
        <v>17.549999999999997</v>
      </c>
      <c r="N373" s="416" t="str">
        <f t="shared" si="42"/>
        <v/>
      </c>
      <c r="P373"/>
      <c r="Q373"/>
      <c r="R373"/>
      <c r="S373"/>
      <c r="T373"/>
      <c r="U373"/>
      <c r="V373"/>
      <c r="AB373"/>
      <c r="AC373"/>
      <c r="AD373" s="57"/>
      <c r="AE373"/>
    </row>
    <row r="374" spans="2:31" s="56" customFormat="1" ht="11.4" customHeight="1">
      <c r="B374" s="378" t="s">
        <v>104</v>
      </c>
      <c r="C374" s="419"/>
      <c r="D374" s="419"/>
      <c r="E374" s="58"/>
      <c r="F374" s="59" t="str">
        <f>CONCATENATE(CHOOSE(MOD(G374,10)+1,"癸","甲","乙","丙","丁","戊","己","庚","辛","壬"),(CHOOSE(MOD(G374,12)+1,"亥","子","丑","寅","卯","辰","巳","午","未","申","酉","戌")))</f>
        <v>己亥</v>
      </c>
      <c r="G374" s="60">
        <f t="shared" si="43"/>
        <v>36</v>
      </c>
      <c r="H374" s="380">
        <f>MOD(H373+359.75,蔀月)</f>
        <v>222.25</v>
      </c>
      <c r="I374" s="61" t="str">
        <f>IF(H373+359.75&gt;=蔀月,"+1","")</f>
        <v>+1</v>
      </c>
      <c r="J374" s="415">
        <f t="shared" si="29"/>
        <v>23.643617021276597</v>
      </c>
      <c r="K374" s="410">
        <f t="shared" si="32"/>
        <v>180.43005319148943</v>
      </c>
      <c r="L374" s="408" t="str">
        <f t="shared" si="30"/>
        <v>夏至</v>
      </c>
      <c r="M374" s="415">
        <f t="shared" si="31"/>
        <v>17.5</v>
      </c>
      <c r="N374" s="416" t="str">
        <f t="shared" si="42"/>
        <v/>
      </c>
      <c r="P374"/>
      <c r="Q374"/>
      <c r="R374"/>
      <c r="S374"/>
      <c r="T374"/>
      <c r="U374"/>
      <c r="V374"/>
      <c r="AB374"/>
      <c r="AC374"/>
      <c r="AD374" s="57"/>
      <c r="AE374"/>
    </row>
    <row r="375" spans="2:31" s="56" customFormat="1" ht="11.4" customHeight="1">
      <c r="B375" s="368" t="s">
        <v>68</v>
      </c>
      <c r="C375" s="419">
        <f>C371+1</f>
        <v>8</v>
      </c>
      <c r="D375" s="419">
        <f>IF(C375=$I$320+1,D371,MOD(D371,12)+1)</f>
        <v>6</v>
      </c>
      <c r="E375" s="62" t="str">
        <f>CONCATENATE(IF(ABS(D375-C375)&gt;8,"前年",""),IF(D375=D371,"閏",""),CHOOSE(D375,"正","二","三","四","五","六","七","八","九","十","十一","十二"),"月")</f>
        <v>六月</v>
      </c>
      <c r="F375" s="369" t="str">
        <f>INDEX(G$239:G$251,MATCH($C375,$B$239:$B$251))</f>
        <v>丙午</v>
      </c>
      <c r="G375" s="370">
        <f>INDEX(H$239:H$251,MATCH($C375,$B$239:$B$251))</f>
        <v>43</v>
      </c>
      <c r="H375" s="371">
        <f>INDEX(E$239:E$251,MATCH($C375,$B$239:$B$251))</f>
        <v>582</v>
      </c>
      <c r="I375" s="372"/>
      <c r="J375" s="417">
        <f t="shared" si="29"/>
        <v>61.914893617021278</v>
      </c>
      <c r="K375" s="410">
        <f t="shared" si="32"/>
        <v>187.81276595744689</v>
      </c>
      <c r="L375" s="408" t="str">
        <f t="shared" si="30"/>
        <v>夏至</v>
      </c>
      <c r="M375" s="417">
        <f t="shared" si="31"/>
        <v>17.5</v>
      </c>
      <c r="N375" s="207" t="str">
        <f t="shared" si="42"/>
        <v/>
      </c>
      <c r="P375"/>
      <c r="Q375"/>
      <c r="R375"/>
      <c r="S375"/>
      <c r="T375"/>
      <c r="U375"/>
      <c r="V375"/>
      <c r="AB375"/>
      <c r="AC375"/>
      <c r="AD375" s="57"/>
      <c r="AE375"/>
    </row>
    <row r="376" spans="2:31" s="56" customFormat="1" ht="11.4" customHeight="1">
      <c r="B376" s="347" t="s">
        <v>102</v>
      </c>
      <c r="C376" s="419"/>
      <c r="D376" s="419"/>
      <c r="E376" s="63"/>
      <c r="F376" s="53" t="str">
        <f>CONCATENATE(CHOOSE(MOD(G376,10)+1,"癸","甲","乙","丙","丁","戊","己","庚","辛","壬"),(CHOOSE(MOD(G376,12)+1,"亥","子","丑","寅","卯","辰","巳","午","未","申","酉","戌")))</f>
        <v>甲寅</v>
      </c>
      <c r="G376" s="54">
        <f>MOD(G375+7+IF(I376="+1",1,0)-1,60)+1</f>
        <v>51</v>
      </c>
      <c r="H376" s="381">
        <f>MOD(H375+359.75,蔀月)</f>
        <v>1.75</v>
      </c>
      <c r="I376" s="64" t="str">
        <f>IF(H375+359.75&gt;=蔀月,"+1","")</f>
        <v>+1</v>
      </c>
      <c r="J376" s="417">
        <f t="shared" si="29"/>
        <v>0.18617021276595744</v>
      </c>
      <c r="K376" s="410">
        <f t="shared" si="32"/>
        <v>195.19547872340434</v>
      </c>
      <c r="L376" s="408" t="str">
        <f t="shared" si="30"/>
        <v>小暑</v>
      </c>
      <c r="M376" s="417">
        <f t="shared" si="31"/>
        <v>17.649999999999999</v>
      </c>
      <c r="N376" s="207" t="str">
        <f t="shared" si="42"/>
        <v>筭上為日</v>
      </c>
      <c r="P376"/>
      <c r="Q376"/>
      <c r="R376"/>
      <c r="S376"/>
      <c r="T376"/>
      <c r="U376"/>
      <c r="V376"/>
      <c r="AB376"/>
      <c r="AC376"/>
      <c r="AD376" s="57"/>
      <c r="AE376"/>
    </row>
    <row r="377" spans="2:31" s="56" customFormat="1" ht="11.4" customHeight="1">
      <c r="B377" s="347" t="s">
        <v>103</v>
      </c>
      <c r="C377" s="419"/>
      <c r="D377" s="419"/>
      <c r="E377" s="63"/>
      <c r="F377" s="53" t="str">
        <f>CONCATENATE(CHOOSE(MOD(G377,10)+1,"癸","甲","乙","丙","丁","戊","己","庚","辛","壬"),(CHOOSE(MOD(G377,12)+1,"亥","子","丑","寅","卯","辰","巳","午","未","申","酉","戌")))</f>
        <v>辛酉</v>
      </c>
      <c r="G377" s="54">
        <f t="shared" ref="G377:G378" si="44">MOD(G376+7+IF(I377="+1",1,0)-1,60)+1</f>
        <v>58</v>
      </c>
      <c r="H377" s="381">
        <f>MOD(H376+359.75,蔀月)</f>
        <v>361.5</v>
      </c>
      <c r="I377" s="64" t="str">
        <f>IF(H376+359.75&gt;=蔀月,"+1","")</f>
        <v/>
      </c>
      <c r="J377" s="417">
        <f t="shared" si="29"/>
        <v>38.457446808510639</v>
      </c>
      <c r="K377" s="410">
        <f t="shared" si="32"/>
        <v>202.57819148936179</v>
      </c>
      <c r="L377" s="408" t="str">
        <f t="shared" si="30"/>
        <v>小暑</v>
      </c>
      <c r="M377" s="417">
        <f t="shared" si="31"/>
        <v>17.649999999999999</v>
      </c>
      <c r="N377" s="207" t="str">
        <f t="shared" si="42"/>
        <v/>
      </c>
      <c r="P377"/>
      <c r="Q377"/>
      <c r="R377"/>
      <c r="S377"/>
      <c r="T377"/>
      <c r="U377"/>
      <c r="V377"/>
      <c r="AB377"/>
      <c r="AC377"/>
      <c r="AD377" s="57"/>
      <c r="AE377"/>
    </row>
    <row r="378" spans="2:31" s="56" customFormat="1" ht="11.4" customHeight="1">
      <c r="B378" s="347" t="s">
        <v>104</v>
      </c>
      <c r="C378" s="419"/>
      <c r="D378" s="419"/>
      <c r="E378" s="63"/>
      <c r="F378" s="53" t="str">
        <f>CONCATENATE(CHOOSE(MOD(G378,10)+1,"癸","甲","乙","丙","丁","戊","己","庚","辛","壬"),(CHOOSE(MOD(G378,12)+1,"亥","子","丑","寅","卯","辰","巳","午","未","申","酉","戌")))</f>
        <v>戊辰</v>
      </c>
      <c r="G378" s="54">
        <f t="shared" si="44"/>
        <v>5</v>
      </c>
      <c r="H378" s="381">
        <f>MOD(H377+359.75,蔀月)</f>
        <v>721.25</v>
      </c>
      <c r="I378" s="64" t="str">
        <f>IF(H377+359.75&gt;=蔀月,"+1","")</f>
        <v/>
      </c>
      <c r="J378" s="417">
        <f t="shared" si="29"/>
        <v>76.728723404255319</v>
      </c>
      <c r="K378" s="410">
        <f t="shared" si="32"/>
        <v>209.96090425531924</v>
      </c>
      <c r="L378" s="408" t="str">
        <f t="shared" si="30"/>
        <v>大暑</v>
      </c>
      <c r="M378" s="417">
        <f t="shared" si="31"/>
        <v>18.100000000000001</v>
      </c>
      <c r="N378" s="207" t="str">
        <f t="shared" si="42"/>
        <v/>
      </c>
      <c r="P378"/>
      <c r="Q378"/>
      <c r="R378"/>
      <c r="S378"/>
      <c r="T378"/>
      <c r="U378"/>
      <c r="V378"/>
      <c r="AB378"/>
      <c r="AC378"/>
      <c r="AD378" s="57"/>
      <c r="AE378"/>
    </row>
    <row r="379" spans="2:31" s="56" customFormat="1" ht="11.4" customHeight="1">
      <c r="B379" s="368" t="s">
        <v>69</v>
      </c>
      <c r="C379" s="419">
        <f>C375+1</f>
        <v>9</v>
      </c>
      <c r="D379" s="419">
        <f>IF(C379=$I$320+1,D375,MOD(D375,12)+1)</f>
        <v>7</v>
      </c>
      <c r="E379" s="401" t="str">
        <f>CONCATENATE(IF(ABS(D379-C379)&gt;8,"前年",""),IF(D379=D375,"閏",""),CHOOSE(D379,"正","二","三","四","五","六","七","八","九","十","十一","十二"),"月")</f>
        <v>七月</v>
      </c>
      <c r="F379" s="369" t="str">
        <f>INDEX(G$239:G$251,MATCH($C379,$B$239:$B$251))</f>
        <v>丙子</v>
      </c>
      <c r="G379" s="370">
        <f>INDEX(H$239:H$251,MATCH($C379,$B$239:$B$251))</f>
        <v>13</v>
      </c>
      <c r="H379" s="371">
        <f>INDEX(E$239:E$251,MATCH($C379,$B$239:$B$251))</f>
        <v>141</v>
      </c>
      <c r="I379" s="372"/>
      <c r="J379" s="415">
        <f t="shared" ref="J379:J406" si="45">H379*100/蔀月</f>
        <v>15</v>
      </c>
      <c r="K379" s="410">
        <f t="shared" si="32"/>
        <v>217.34361702127669</v>
      </c>
      <c r="L379" s="408" t="str">
        <f t="shared" ref="L379:L406" si="46">INDEX($C$287:$C$314,MATCH(MOD(ROUND((mean_solar_year+K379)/(medial_qi/2),0),24)+1,$B$287:$B$314,0))</f>
        <v>大暑</v>
      </c>
      <c r="M379" s="415">
        <f t="shared" ref="M379:M406" si="47">INDEX(Han.Solar.table.night.marks,MATCH(L379,Han.Solar.table.qi.names,0))/2</f>
        <v>18.100000000000001</v>
      </c>
      <c r="N379" s="416" t="str">
        <f>IF(J379&lt;M379,"筭上為日","")</f>
        <v>筭上為日</v>
      </c>
      <c r="P379"/>
      <c r="Q379"/>
      <c r="R379"/>
      <c r="S379"/>
      <c r="T379"/>
      <c r="U379"/>
      <c r="V379"/>
      <c r="AB379"/>
      <c r="AC379"/>
      <c r="AD379" s="57"/>
      <c r="AE379"/>
    </row>
    <row r="380" spans="2:31" s="56" customFormat="1" ht="11.4" customHeight="1">
      <c r="B380" s="378" t="s">
        <v>102</v>
      </c>
      <c r="C380" s="419"/>
      <c r="D380" s="419"/>
      <c r="E380" s="58"/>
      <c r="F380" s="59" t="str">
        <f>CONCATENATE(CHOOSE(MOD(G380,10)+1,"癸","甲","乙","丙","丁","戊","己","庚","辛","壬"),(CHOOSE(MOD(G380,12)+1,"亥","子","丑","寅","卯","辰","巳","午","未","申","酉","戌")))</f>
        <v>癸未</v>
      </c>
      <c r="G380" s="60">
        <f>MOD(G379+7+IF(I380="+1",1,0)-1,60)+1</f>
        <v>20</v>
      </c>
      <c r="H380" s="380">
        <f>MOD(H379+359.75,蔀月)</f>
        <v>500.75</v>
      </c>
      <c r="I380" s="61" t="str">
        <f>IF(H379+359.75&gt;=蔀月,"+1","")</f>
        <v/>
      </c>
      <c r="J380" s="415">
        <f t="shared" si="45"/>
        <v>53.271276595744681</v>
      </c>
      <c r="K380" s="410">
        <f t="shared" ref="K380:K406" si="48">K379+7+359.75/蔀月</f>
        <v>224.72632978723414</v>
      </c>
      <c r="L380" s="408" t="str">
        <f t="shared" si="46"/>
        <v>立秋</v>
      </c>
      <c r="M380" s="415">
        <f t="shared" si="47"/>
        <v>18.850000000000001</v>
      </c>
      <c r="N380" s="416" t="str">
        <f t="shared" ref="N380:N386" si="49">IF(J380&lt;M380,"筭上為日","")</f>
        <v/>
      </c>
      <c r="P380"/>
      <c r="Q380"/>
      <c r="R380"/>
      <c r="S380"/>
      <c r="T380"/>
      <c r="U380"/>
      <c r="V380"/>
      <c r="AB380"/>
      <c r="AC380"/>
      <c r="AD380" s="57"/>
      <c r="AE380"/>
    </row>
    <row r="381" spans="2:31" s="56" customFormat="1" ht="11.4" customHeight="1">
      <c r="B381" s="378" t="s">
        <v>103</v>
      </c>
      <c r="C381" s="419"/>
      <c r="D381" s="419"/>
      <c r="E381" s="58"/>
      <c r="F381" s="59" t="str">
        <f>CONCATENATE(CHOOSE(MOD(G381,10)+1,"癸","甲","乙","丙","丁","戊","己","庚","辛","壬"),(CHOOSE(MOD(G381,12)+1,"亥","子","丑","寅","卯","辰","巳","午","未","申","酉","戌")))</f>
        <v>庚寅</v>
      </c>
      <c r="G381" s="60">
        <f t="shared" ref="G381:G382" si="50">MOD(G380+7+IF(I381="+1",1,0)-1,60)+1</f>
        <v>27</v>
      </c>
      <c r="H381" s="380">
        <f>MOD(H380+359.75,蔀月)</f>
        <v>860.5</v>
      </c>
      <c r="I381" s="61" t="str">
        <f>IF(H380+359.75&gt;=蔀月,"+1","")</f>
        <v/>
      </c>
      <c r="J381" s="415">
        <f t="shared" si="45"/>
        <v>91.542553191489361</v>
      </c>
      <c r="K381" s="410">
        <f t="shared" si="48"/>
        <v>232.10904255319159</v>
      </c>
      <c r="L381" s="408" t="str">
        <f t="shared" si="46"/>
        <v>立秋</v>
      </c>
      <c r="M381" s="415">
        <f t="shared" si="47"/>
        <v>18.850000000000001</v>
      </c>
      <c r="N381" s="416" t="str">
        <f t="shared" si="49"/>
        <v/>
      </c>
      <c r="P381"/>
      <c r="Q381"/>
      <c r="R381"/>
      <c r="S381"/>
      <c r="T381"/>
      <c r="U381"/>
      <c r="V381"/>
      <c r="AB381"/>
      <c r="AC381"/>
      <c r="AD381" s="57"/>
      <c r="AE381"/>
    </row>
    <row r="382" spans="2:31" s="56" customFormat="1" ht="11.4" customHeight="1">
      <c r="B382" s="378" t="s">
        <v>104</v>
      </c>
      <c r="C382" s="419"/>
      <c r="D382" s="419"/>
      <c r="E382" s="58"/>
      <c r="F382" s="59" t="str">
        <f>CONCATENATE(CHOOSE(MOD(G382,10)+1,"癸","甲","乙","丙","丁","戊","己","庚","辛","壬"),(CHOOSE(MOD(G382,12)+1,"亥","子","丑","寅","卯","辰","巳","午","未","申","酉","戌")))</f>
        <v>戊戌</v>
      </c>
      <c r="G382" s="60">
        <f t="shared" si="50"/>
        <v>35</v>
      </c>
      <c r="H382" s="380">
        <f>MOD(H381+359.75,蔀月)</f>
        <v>280.25</v>
      </c>
      <c r="I382" s="61" t="str">
        <f>IF(H381+359.75&gt;=蔀月,"+1","")</f>
        <v>+1</v>
      </c>
      <c r="J382" s="415">
        <f t="shared" si="45"/>
        <v>29.813829787234042</v>
      </c>
      <c r="K382" s="410">
        <f t="shared" si="48"/>
        <v>239.49175531914904</v>
      </c>
      <c r="L382" s="408" t="str">
        <f t="shared" si="46"/>
        <v>處暑</v>
      </c>
      <c r="M382" s="415">
        <f t="shared" si="47"/>
        <v>19.899999999999999</v>
      </c>
      <c r="N382" s="416" t="str">
        <f t="shared" si="49"/>
        <v/>
      </c>
      <c r="P382"/>
      <c r="Q382"/>
      <c r="R382"/>
      <c r="S382"/>
      <c r="T382"/>
      <c r="U382"/>
      <c r="V382"/>
      <c r="AB382"/>
      <c r="AC382"/>
      <c r="AD382" s="57"/>
      <c r="AE382"/>
    </row>
    <row r="383" spans="2:31" s="56" customFormat="1" ht="11.4" customHeight="1">
      <c r="B383" s="368" t="s">
        <v>70</v>
      </c>
      <c r="C383" s="419">
        <f>C379+1</f>
        <v>10</v>
      </c>
      <c r="D383" s="419">
        <f>IF(C383=$I$320+1,D379,MOD(D379,12)+1)</f>
        <v>8</v>
      </c>
      <c r="E383" s="62" t="str">
        <f>CONCATENATE(IF(ABS(D383-C383)&gt;8,"前年",""),IF(D383=D379,"閏",""),CHOOSE(D383,"正","二","三","四","五","六","七","八","九","十","十一","十二"),"月")</f>
        <v>八月</v>
      </c>
      <c r="F383" s="369" t="str">
        <f>INDEX(G$239:G$251,MATCH($C383,$B$239:$B$251))</f>
        <v>乙巳</v>
      </c>
      <c r="G383" s="370">
        <f>INDEX(H$239:H$251,MATCH($C383,$B$239:$B$251))</f>
        <v>42</v>
      </c>
      <c r="H383" s="371">
        <f>INDEX(E$239:E$251,MATCH($C383,$B$239:$B$251))</f>
        <v>640</v>
      </c>
      <c r="I383" s="372"/>
      <c r="J383" s="417">
        <f t="shared" si="45"/>
        <v>68.085106382978722</v>
      </c>
      <c r="K383" s="410">
        <f t="shared" si="48"/>
        <v>246.87446808510649</v>
      </c>
      <c r="L383" s="408" t="str">
        <f t="shared" si="46"/>
        <v>處暑</v>
      </c>
      <c r="M383" s="417">
        <f t="shared" si="47"/>
        <v>19.899999999999999</v>
      </c>
      <c r="N383" s="207" t="str">
        <f t="shared" si="49"/>
        <v/>
      </c>
      <c r="P383"/>
      <c r="Q383"/>
      <c r="R383"/>
      <c r="S383"/>
      <c r="T383"/>
      <c r="U383"/>
      <c r="V383"/>
      <c r="AB383"/>
      <c r="AC383"/>
      <c r="AD383" s="57"/>
      <c r="AE383"/>
    </row>
    <row r="384" spans="2:31" s="56" customFormat="1" ht="11.4" customHeight="1">
      <c r="B384" s="347" t="s">
        <v>102</v>
      </c>
      <c r="C384" s="419"/>
      <c r="D384" s="419"/>
      <c r="E384" s="63"/>
      <c r="F384" s="53" t="str">
        <f>CONCATENATE(CHOOSE(MOD(G384,10)+1,"癸","甲","乙","丙","丁","戊","己","庚","辛","壬"),(CHOOSE(MOD(G384,12)+1,"亥","子","丑","寅","卯","辰","巳","午","未","申","酉","戌")))</f>
        <v>癸丑</v>
      </c>
      <c r="G384" s="54">
        <f>MOD(G383+7+IF(I384="+1",1,0)-1,60)+1</f>
        <v>50</v>
      </c>
      <c r="H384" s="381">
        <f>MOD(H383+359.75,蔀月)</f>
        <v>59.75</v>
      </c>
      <c r="I384" s="64" t="str">
        <f>IF(H383+359.75&gt;=蔀月,"+1","")</f>
        <v>+1</v>
      </c>
      <c r="J384" s="417">
        <f t="shared" si="45"/>
        <v>6.3563829787234045</v>
      </c>
      <c r="K384" s="410">
        <f t="shared" si="48"/>
        <v>254.25718085106394</v>
      </c>
      <c r="L384" s="408" t="str">
        <f t="shared" si="46"/>
        <v>白露</v>
      </c>
      <c r="M384" s="417">
        <f t="shared" si="47"/>
        <v>21.1</v>
      </c>
      <c r="N384" s="207" t="str">
        <f t="shared" si="49"/>
        <v>筭上為日</v>
      </c>
      <c r="P384"/>
      <c r="Q384"/>
      <c r="R384"/>
      <c r="S384"/>
      <c r="T384"/>
      <c r="U384"/>
      <c r="V384"/>
      <c r="AB384"/>
      <c r="AC384"/>
      <c r="AD384" s="57"/>
      <c r="AE384"/>
    </row>
    <row r="385" spans="1:31" s="56" customFormat="1" ht="11.4" customHeight="1">
      <c r="B385" s="347" t="s">
        <v>103</v>
      </c>
      <c r="C385" s="419"/>
      <c r="D385" s="419"/>
      <c r="E385" s="63"/>
      <c r="F385" s="53" t="str">
        <f>CONCATENATE(CHOOSE(MOD(G385,10)+1,"癸","甲","乙","丙","丁","戊","己","庚","辛","壬"),(CHOOSE(MOD(G385,12)+1,"亥","子","丑","寅","卯","辰","巳","午","未","申","酉","戌")))</f>
        <v>庚申</v>
      </c>
      <c r="G385" s="54">
        <f t="shared" ref="G385:G386" si="51">MOD(G384+7+IF(I385="+1",1,0)-1,60)+1</f>
        <v>57</v>
      </c>
      <c r="H385" s="381">
        <f>MOD(H384+359.75,蔀月)</f>
        <v>419.5</v>
      </c>
      <c r="I385" s="64" t="str">
        <f>IF(H384+359.75&gt;=蔀月,"+1","")</f>
        <v/>
      </c>
      <c r="J385" s="417">
        <f t="shared" si="45"/>
        <v>44.627659574468083</v>
      </c>
      <c r="K385" s="410">
        <f t="shared" si="48"/>
        <v>261.63989361702136</v>
      </c>
      <c r="L385" s="408" t="str">
        <f t="shared" si="46"/>
        <v>白露</v>
      </c>
      <c r="M385" s="417">
        <f t="shared" si="47"/>
        <v>21.1</v>
      </c>
      <c r="N385" s="207" t="str">
        <f t="shared" si="49"/>
        <v/>
      </c>
      <c r="P385"/>
      <c r="Q385"/>
      <c r="R385"/>
      <c r="S385"/>
      <c r="T385"/>
      <c r="U385"/>
      <c r="V385"/>
      <c r="AB385"/>
      <c r="AC385"/>
      <c r="AD385" s="57"/>
      <c r="AE385"/>
    </row>
    <row r="386" spans="1:31" s="56" customFormat="1" ht="11.4" customHeight="1">
      <c r="B386" s="347" t="s">
        <v>104</v>
      </c>
      <c r="C386" s="419"/>
      <c r="D386" s="419"/>
      <c r="E386" s="63"/>
      <c r="F386" s="53" t="str">
        <f>CONCATENATE(CHOOSE(MOD(G386,10)+1,"癸","甲","乙","丙","丁","戊","己","庚","辛","壬"),(CHOOSE(MOD(G386,12)+1,"亥","子","丑","寅","卯","辰","巳","午","未","申","酉","戌")))</f>
        <v>丁卯</v>
      </c>
      <c r="G386" s="54">
        <f t="shared" si="51"/>
        <v>4</v>
      </c>
      <c r="H386" s="381">
        <f>MOD(H385+359.75,蔀月)</f>
        <v>779.25</v>
      </c>
      <c r="I386" s="64" t="str">
        <f>IF(H385+359.75&gt;=蔀月,"+1","")</f>
        <v/>
      </c>
      <c r="J386" s="417">
        <f t="shared" si="45"/>
        <v>82.898936170212764</v>
      </c>
      <c r="K386" s="410">
        <f t="shared" si="48"/>
        <v>269.02260638297878</v>
      </c>
      <c r="L386" s="408" t="str">
        <f t="shared" si="46"/>
        <v>秋分</v>
      </c>
      <c r="M386" s="417">
        <f t="shared" si="47"/>
        <v>22.4</v>
      </c>
      <c r="N386" s="207" t="str">
        <f t="shared" si="49"/>
        <v/>
      </c>
      <c r="P386"/>
      <c r="Q386"/>
      <c r="R386"/>
      <c r="S386"/>
      <c r="T386"/>
      <c r="U386"/>
      <c r="V386"/>
      <c r="AB386"/>
      <c r="AC386"/>
      <c r="AD386" s="57"/>
      <c r="AE386"/>
    </row>
    <row r="387" spans="1:31" s="56" customFormat="1" ht="11.4" customHeight="1">
      <c r="B387" s="368" t="s">
        <v>71</v>
      </c>
      <c r="C387" s="419">
        <f>C383+1</f>
        <v>11</v>
      </c>
      <c r="D387" s="419">
        <f>IF(C387=$I$320+1,D383,MOD(D383,12)+1)</f>
        <v>9</v>
      </c>
      <c r="E387" s="401" t="str">
        <f>CONCATENATE(IF(ABS(D387-C387)&gt;8,"前年",""),IF(D387=D383,"閏",""),CHOOSE(D387,"正","二","三","四","五","六","七","八","九","十","十一","十二"),"月")</f>
        <v>九月</v>
      </c>
      <c r="F387" s="369" t="str">
        <f>INDEX(G$239:G$251,MATCH($C387,$B$239:$B$251))</f>
        <v>乙亥</v>
      </c>
      <c r="G387" s="370">
        <f>INDEX(H$239:H$251,MATCH($C387,$B$239:$B$251))</f>
        <v>12</v>
      </c>
      <c r="H387" s="371">
        <f>INDEX(E$239:E$251,MATCH($C387,$B$239:$B$251))</f>
        <v>199</v>
      </c>
      <c r="I387" s="372"/>
      <c r="J387" s="415">
        <f t="shared" si="45"/>
        <v>21.170212765957448</v>
      </c>
      <c r="K387" s="410">
        <f t="shared" si="48"/>
        <v>276.4053191489362</v>
      </c>
      <c r="L387" s="408" t="str">
        <f t="shared" si="46"/>
        <v>秋分</v>
      </c>
      <c r="M387" s="415">
        <f t="shared" si="47"/>
        <v>22.4</v>
      </c>
      <c r="N387" s="416" t="str">
        <f>IF(J387&lt;M387,"筭上為日","")</f>
        <v>筭上為日</v>
      </c>
      <c r="P387"/>
      <c r="Q387"/>
      <c r="R387"/>
      <c r="S387"/>
      <c r="T387"/>
      <c r="U387"/>
      <c r="V387"/>
      <c r="AB387"/>
      <c r="AC387"/>
      <c r="AD387" s="57"/>
      <c r="AE387"/>
    </row>
    <row r="388" spans="1:31" s="56" customFormat="1" ht="11.4" customHeight="1">
      <c r="B388" s="378" t="s">
        <v>102</v>
      </c>
      <c r="C388" s="419"/>
      <c r="D388" s="419"/>
      <c r="E388" s="58"/>
      <c r="F388" s="59" t="str">
        <f>CONCATENATE(CHOOSE(MOD(G388,10)+1,"癸","甲","乙","丙","丁","戊","己","庚","辛","壬"),(CHOOSE(MOD(G388,12)+1,"亥","子","丑","寅","卯","辰","巳","午","未","申","酉","戌")))</f>
        <v>壬午</v>
      </c>
      <c r="G388" s="60">
        <f>MOD(G387+7+IF(I388="+1",1,0)-1,60)+1</f>
        <v>19</v>
      </c>
      <c r="H388" s="380">
        <f>MOD(H387+359.75,蔀月)</f>
        <v>558.75</v>
      </c>
      <c r="I388" s="61" t="str">
        <f>IF(H387+359.75&gt;=蔀月,"+1","")</f>
        <v/>
      </c>
      <c r="J388" s="415">
        <f t="shared" si="45"/>
        <v>59.441489361702125</v>
      </c>
      <c r="K388" s="410">
        <f t="shared" si="48"/>
        <v>283.78803191489362</v>
      </c>
      <c r="L388" s="408" t="str">
        <f t="shared" si="46"/>
        <v>寒露</v>
      </c>
      <c r="M388" s="415">
        <f t="shared" si="47"/>
        <v>23.7</v>
      </c>
      <c r="N388" s="416" t="str">
        <f t="shared" ref="N388:N394" si="52">IF(J388&lt;M388,"筭上為日","")</f>
        <v/>
      </c>
      <c r="P388"/>
      <c r="Q388"/>
      <c r="R388"/>
      <c r="S388"/>
      <c r="T388"/>
      <c r="U388"/>
      <c r="V388"/>
      <c r="AB388"/>
      <c r="AC388"/>
      <c r="AD388" s="57"/>
      <c r="AE388"/>
    </row>
    <row r="389" spans="1:31" s="56" customFormat="1" ht="11.4" customHeight="1">
      <c r="B389" s="378" t="s">
        <v>103</v>
      </c>
      <c r="C389" s="419"/>
      <c r="D389" s="419"/>
      <c r="E389" s="58"/>
      <c r="F389" s="59" t="str">
        <f>CONCATENATE(CHOOSE(MOD(G389,10)+1,"癸","甲","乙","丙","丁","戊","己","庚","辛","壬"),(CHOOSE(MOD(G389,12)+1,"亥","子","丑","寅","卯","辰","巳","午","未","申","酉","戌")))</f>
        <v>己丑</v>
      </c>
      <c r="G389" s="60">
        <f t="shared" ref="G389:G390" si="53">MOD(G388+7+IF(I389="+1",1,0)-1,60)+1</f>
        <v>26</v>
      </c>
      <c r="H389" s="380">
        <f>MOD(H388+359.75,蔀月)</f>
        <v>918.5</v>
      </c>
      <c r="I389" s="61" t="str">
        <f>IF(H388+359.75&gt;=蔀月,"+1","")</f>
        <v/>
      </c>
      <c r="J389" s="415">
        <f t="shared" si="45"/>
        <v>97.712765957446805</v>
      </c>
      <c r="K389" s="410">
        <f t="shared" si="48"/>
        <v>291.17074468085104</v>
      </c>
      <c r="L389" s="408" t="str">
        <f t="shared" si="46"/>
        <v>寒露</v>
      </c>
      <c r="M389" s="415">
        <f t="shared" si="47"/>
        <v>23.7</v>
      </c>
      <c r="N389" s="416" t="str">
        <f t="shared" si="52"/>
        <v/>
      </c>
      <c r="P389"/>
      <c r="Q389"/>
      <c r="R389"/>
      <c r="S389"/>
      <c r="T389"/>
      <c r="U389"/>
      <c r="V389"/>
      <c r="AB389"/>
      <c r="AC389"/>
      <c r="AD389" s="57"/>
      <c r="AE389"/>
    </row>
    <row r="390" spans="1:31" s="56" customFormat="1" ht="11.4" customHeight="1">
      <c r="B390" s="378" t="s">
        <v>104</v>
      </c>
      <c r="C390" s="419"/>
      <c r="D390" s="419"/>
      <c r="E390" s="58"/>
      <c r="F390" s="59" t="str">
        <f>CONCATENATE(CHOOSE(MOD(G390,10)+1,"癸","甲","乙","丙","丁","戊","己","庚","辛","壬"),(CHOOSE(MOD(G390,12)+1,"亥","子","丑","寅","卯","辰","巳","午","未","申","酉","戌")))</f>
        <v>丁酉</v>
      </c>
      <c r="G390" s="60">
        <f t="shared" si="53"/>
        <v>34</v>
      </c>
      <c r="H390" s="380">
        <f>MOD(H389+359.75,蔀月)</f>
        <v>338.25</v>
      </c>
      <c r="I390" s="61" t="str">
        <f>IF(H389+359.75&gt;=蔀月,"+1","")</f>
        <v>+1</v>
      </c>
      <c r="J390" s="415">
        <f t="shared" si="45"/>
        <v>35.984042553191486</v>
      </c>
      <c r="K390" s="410">
        <f t="shared" si="48"/>
        <v>298.55345744680847</v>
      </c>
      <c r="L390" s="408" t="str">
        <f t="shared" si="46"/>
        <v>霜降</v>
      </c>
      <c r="M390" s="415">
        <f t="shared" si="47"/>
        <v>24.85</v>
      </c>
      <c r="N390" s="416" t="str">
        <f t="shared" si="52"/>
        <v/>
      </c>
      <c r="P390"/>
      <c r="Q390"/>
      <c r="R390"/>
      <c r="S390"/>
      <c r="T390"/>
      <c r="U390"/>
      <c r="V390"/>
      <c r="AB390"/>
      <c r="AC390"/>
      <c r="AD390" s="57"/>
      <c r="AE390"/>
    </row>
    <row r="391" spans="1:31" s="56" customFormat="1" ht="11.4" customHeight="1">
      <c r="B391" s="368" t="s">
        <v>72</v>
      </c>
      <c r="C391" s="419">
        <f>C387+1</f>
        <v>12</v>
      </c>
      <c r="D391" s="419">
        <f>IF(C391=$I$320+1,D387,MOD(D387,12)+1)</f>
        <v>10</v>
      </c>
      <c r="E391" s="62" t="str">
        <f>CONCATENATE(IF(ABS(D391-C391)&gt;8,"前年",""),IF(D391=D387,"閏",""),CHOOSE(D391,"正","二","三","四","五","六","七","八","九","十","十一","十二"),"月")</f>
        <v>十月</v>
      </c>
      <c r="F391" s="369" t="str">
        <f>INDEX(G$239:G$251,MATCH($C391,$B$239:$B$251))</f>
        <v>甲辰</v>
      </c>
      <c r="G391" s="370">
        <f>INDEX(H$239:H$251,MATCH($C391,$B$239:$B$251))</f>
        <v>41</v>
      </c>
      <c r="H391" s="371">
        <f>INDEX(E$239:E$251,MATCH($C391,$B$239:$B$251))</f>
        <v>698</v>
      </c>
      <c r="I391" s="372"/>
      <c r="J391" s="417">
        <f t="shared" si="45"/>
        <v>74.255319148936167</v>
      </c>
      <c r="K391" s="410">
        <f t="shared" si="48"/>
        <v>305.93617021276589</v>
      </c>
      <c r="L391" s="408" t="str">
        <f t="shared" si="46"/>
        <v>霜降</v>
      </c>
      <c r="M391" s="417">
        <f t="shared" si="47"/>
        <v>24.85</v>
      </c>
      <c r="N391" s="207" t="str">
        <f t="shared" si="52"/>
        <v/>
      </c>
      <c r="P391"/>
      <c r="Q391"/>
      <c r="R391"/>
      <c r="S391"/>
      <c r="T391"/>
      <c r="U391"/>
      <c r="V391"/>
      <c r="AB391"/>
      <c r="AC391"/>
      <c r="AD391" s="57"/>
      <c r="AE391"/>
    </row>
    <row r="392" spans="1:31" s="56" customFormat="1" ht="11.4" customHeight="1">
      <c r="B392" s="347" t="s">
        <v>102</v>
      </c>
      <c r="C392" s="419"/>
      <c r="D392" s="419"/>
      <c r="E392" s="63"/>
      <c r="F392" s="53" t="str">
        <f>CONCATENATE(CHOOSE(MOD(G392,10)+1,"癸","甲","乙","丙","丁","戊","己","庚","辛","壬"),(CHOOSE(MOD(G392,12)+1,"亥","子","丑","寅","卯","辰","巳","午","未","申","酉","戌")))</f>
        <v>壬子</v>
      </c>
      <c r="G392" s="54">
        <f>MOD(G391+7+IF(I392="+1",1,0)-1,60)+1</f>
        <v>49</v>
      </c>
      <c r="H392" s="381">
        <f>MOD(H391+359.75,蔀月)</f>
        <v>117.75</v>
      </c>
      <c r="I392" s="64" t="str">
        <f>IF(H391+359.75&gt;=蔀月,"+1","")</f>
        <v>+1</v>
      </c>
      <c r="J392" s="417">
        <f t="shared" si="45"/>
        <v>12.526595744680851</v>
      </c>
      <c r="K392" s="410">
        <f t="shared" si="48"/>
        <v>313.31888297872331</v>
      </c>
      <c r="L392" s="408" t="str">
        <f t="shared" si="46"/>
        <v>立冬</v>
      </c>
      <c r="M392" s="417">
        <f t="shared" si="47"/>
        <v>25.9</v>
      </c>
      <c r="N392" s="207" t="str">
        <f t="shared" si="52"/>
        <v>筭上為日</v>
      </c>
      <c r="P392"/>
      <c r="Q392"/>
      <c r="R392"/>
      <c r="S392"/>
      <c r="T392"/>
      <c r="U392"/>
      <c r="V392"/>
      <c r="AB392"/>
      <c r="AC392"/>
      <c r="AD392" s="57"/>
      <c r="AE392"/>
    </row>
    <row r="393" spans="1:31" s="56" customFormat="1" ht="11.4" customHeight="1">
      <c r="B393" s="347" t="s">
        <v>103</v>
      </c>
      <c r="C393" s="419"/>
      <c r="D393" s="419"/>
      <c r="E393" s="63"/>
      <c r="F393" s="53" t="str">
        <f>CONCATENATE(CHOOSE(MOD(G393,10)+1,"癸","甲","乙","丙","丁","戊","己","庚","辛","壬"),(CHOOSE(MOD(G393,12)+1,"亥","子","丑","寅","卯","辰","巳","午","未","申","酉","戌")))</f>
        <v>己未</v>
      </c>
      <c r="G393" s="54">
        <f t="shared" ref="G393:G394" si="54">MOD(G392+7+IF(I393="+1",1,0)-1,60)+1</f>
        <v>56</v>
      </c>
      <c r="H393" s="381">
        <f>MOD(H392+359.75,蔀月)</f>
        <v>477.5</v>
      </c>
      <c r="I393" s="64" t="str">
        <f>IF(H392+359.75&gt;=蔀月,"+1","")</f>
        <v/>
      </c>
      <c r="J393" s="417">
        <f t="shared" si="45"/>
        <v>50.797872340425535</v>
      </c>
      <c r="K393" s="410">
        <f t="shared" si="48"/>
        <v>320.70159574468073</v>
      </c>
      <c r="L393" s="408" t="str">
        <f t="shared" si="46"/>
        <v>立冬</v>
      </c>
      <c r="M393" s="417">
        <f t="shared" si="47"/>
        <v>25.9</v>
      </c>
      <c r="N393" s="207" t="str">
        <f t="shared" si="52"/>
        <v/>
      </c>
      <c r="P393"/>
      <c r="Q393"/>
      <c r="R393"/>
      <c r="S393"/>
      <c r="T393"/>
      <c r="U393"/>
      <c r="V393"/>
      <c r="AB393"/>
      <c r="AC393"/>
      <c r="AD393" s="57"/>
      <c r="AE393"/>
    </row>
    <row r="394" spans="1:31" s="56" customFormat="1" ht="11.4" customHeight="1">
      <c r="B394" s="347" t="s">
        <v>104</v>
      </c>
      <c r="C394" s="419"/>
      <c r="D394" s="419"/>
      <c r="E394" s="63"/>
      <c r="F394" s="53" t="str">
        <f>CONCATENATE(CHOOSE(MOD(G394,10)+1,"癸","甲","乙","丙","丁","戊","己","庚","辛","壬"),(CHOOSE(MOD(G394,12)+1,"亥","子","丑","寅","卯","辰","巳","午","未","申","酉","戌")))</f>
        <v>丙寅</v>
      </c>
      <c r="G394" s="54">
        <f t="shared" si="54"/>
        <v>3</v>
      </c>
      <c r="H394" s="381">
        <f>MOD(H393+359.75,蔀月)</f>
        <v>837.25</v>
      </c>
      <c r="I394" s="64" t="str">
        <f>IF(H393+359.75&gt;=蔀月,"+1","")</f>
        <v/>
      </c>
      <c r="J394" s="417">
        <f t="shared" si="45"/>
        <v>89.069148936170208</v>
      </c>
      <c r="K394" s="410">
        <f t="shared" si="48"/>
        <v>328.08430851063815</v>
      </c>
      <c r="L394" s="408" t="str">
        <f t="shared" si="46"/>
        <v>小雪</v>
      </c>
      <c r="M394" s="417">
        <f t="shared" si="47"/>
        <v>26.65</v>
      </c>
      <c r="N394" s="207" t="str">
        <f t="shared" si="52"/>
        <v/>
      </c>
      <c r="P394"/>
      <c r="Q394"/>
      <c r="R394"/>
      <c r="S394"/>
      <c r="T394"/>
      <c r="U394"/>
      <c r="V394"/>
      <c r="AB394"/>
      <c r="AC394"/>
      <c r="AD394" s="57"/>
      <c r="AE394"/>
    </row>
    <row r="395" spans="1:31" s="56" customFormat="1" ht="11.4" customHeight="1">
      <c r="B395" s="368" t="s">
        <v>73</v>
      </c>
      <c r="C395" s="419">
        <f>C391+1</f>
        <v>13</v>
      </c>
      <c r="D395" s="419">
        <f>IF(C395=$I$320+1,D391,MOD(D391,12)+1)</f>
        <v>11</v>
      </c>
      <c r="E395" s="401" t="str">
        <f>CONCATENATE(IF(ABS(D395-C395)&gt;8,"前年",""),IF(D395=D391,"閏",""),CHOOSE(D395,"正","二","三","四","五","六","七","八","九","十","十一","十二"),"月")</f>
        <v>十一月</v>
      </c>
      <c r="F395" s="369" t="str">
        <f>INDEX(G$239:G$251,MATCH($C395,$B$239:$B$251))</f>
        <v>甲戌</v>
      </c>
      <c r="G395" s="370">
        <f>INDEX(H$239:H$251,MATCH($C395,$B$239:$B$251))</f>
        <v>11</v>
      </c>
      <c r="H395" s="371">
        <f>INDEX(E$239:E$251,MATCH($C395,$B$239:$B$251))</f>
        <v>257</v>
      </c>
      <c r="I395" s="372"/>
      <c r="J395" s="415">
        <f t="shared" si="45"/>
        <v>27.340425531914892</v>
      </c>
      <c r="K395" s="410">
        <f t="shared" si="48"/>
        <v>335.46702127659557</v>
      </c>
      <c r="L395" s="408" t="str">
        <f t="shared" si="46"/>
        <v>小雪</v>
      </c>
      <c r="M395" s="415">
        <f t="shared" si="47"/>
        <v>26.65</v>
      </c>
      <c r="N395" s="416" t="str">
        <f>IF(J395&lt;M395,"筭上為日","")</f>
        <v/>
      </c>
      <c r="P395"/>
      <c r="Q395"/>
      <c r="R395"/>
      <c r="S395"/>
      <c r="T395"/>
      <c r="U395"/>
      <c r="V395"/>
      <c r="AB395"/>
      <c r="AC395"/>
      <c r="AD395" s="57"/>
      <c r="AE395"/>
    </row>
    <row r="396" spans="1:31" s="56" customFormat="1" ht="11.4" customHeight="1">
      <c r="B396" s="378" t="s">
        <v>102</v>
      </c>
      <c r="C396" s="419"/>
      <c r="D396" s="419"/>
      <c r="E396" s="58"/>
      <c r="F396" s="59" t="str">
        <f>CONCATENATE(CHOOSE(MOD(G396,10)+1,"癸","甲","乙","丙","丁","戊","己","庚","辛","壬"),(CHOOSE(MOD(G396,12)+1,"亥","子","丑","寅","卯","辰","巳","午","未","申","酉","戌")))</f>
        <v>辛巳</v>
      </c>
      <c r="G396" s="60">
        <f>MOD(G395+7+IF(I396="+1",1,0)-1,60)+1</f>
        <v>18</v>
      </c>
      <c r="H396" s="380">
        <f>MOD(H395+359.75,蔀月)</f>
        <v>616.75</v>
      </c>
      <c r="I396" s="61" t="str">
        <f>IF(H395+359.75&gt;=蔀月,"+1","")</f>
        <v/>
      </c>
      <c r="J396" s="415">
        <f t="shared" si="45"/>
        <v>65.611702127659569</v>
      </c>
      <c r="K396" s="410">
        <f t="shared" si="48"/>
        <v>342.849734042553</v>
      </c>
      <c r="L396" s="408" t="str">
        <f t="shared" si="46"/>
        <v>大雪</v>
      </c>
      <c r="M396" s="415">
        <f t="shared" si="47"/>
        <v>27.25</v>
      </c>
      <c r="N396" s="416" t="str">
        <f t="shared" ref="N396:N402" si="55">IF(J396&lt;M396,"筭上為日","")</f>
        <v/>
      </c>
      <c r="P396"/>
      <c r="Q396"/>
      <c r="R396"/>
      <c r="S396"/>
      <c r="T396"/>
      <c r="U396"/>
      <c r="V396"/>
      <c r="AB396"/>
      <c r="AC396"/>
      <c r="AD396" s="57"/>
      <c r="AE396"/>
    </row>
    <row r="397" spans="1:31" s="56" customFormat="1" ht="11.4" customHeight="1">
      <c r="B397" s="378" t="s">
        <v>103</v>
      </c>
      <c r="C397" s="419"/>
      <c r="D397" s="419"/>
      <c r="E397" s="58"/>
      <c r="F397" s="59" t="str">
        <f>CONCATENATE(CHOOSE(MOD(G397,10)+1,"癸","甲","乙","丙","丁","戊","己","庚","辛","壬"),(CHOOSE(MOD(G397,12)+1,"亥","子","丑","寅","卯","辰","巳","午","未","申","酉","戌")))</f>
        <v>己丑</v>
      </c>
      <c r="G397" s="60">
        <f t="shared" ref="G397:G398" si="56">MOD(G396+7+IF(I397="+1",1,0)-1,60)+1</f>
        <v>26</v>
      </c>
      <c r="H397" s="380">
        <f>MOD(H396+359.75,蔀月)</f>
        <v>36.5</v>
      </c>
      <c r="I397" s="61" t="str">
        <f>IF(H396+359.75&gt;=蔀月,"+1","")</f>
        <v>+1</v>
      </c>
      <c r="J397" s="415">
        <f t="shared" si="45"/>
        <v>3.8829787234042552</v>
      </c>
      <c r="K397" s="410">
        <f t="shared" si="48"/>
        <v>350.23244680851042</v>
      </c>
      <c r="L397" s="408" t="str">
        <f t="shared" si="46"/>
        <v>大雪</v>
      </c>
      <c r="M397" s="415">
        <f t="shared" si="47"/>
        <v>27.25</v>
      </c>
      <c r="N397" s="416" t="str">
        <f t="shared" si="55"/>
        <v>筭上為日</v>
      </c>
      <c r="P397"/>
      <c r="Q397"/>
      <c r="R397"/>
      <c r="S397"/>
      <c r="T397"/>
      <c r="U397"/>
      <c r="V397"/>
      <c r="AB397"/>
      <c r="AC397"/>
      <c r="AD397" s="57"/>
      <c r="AE397"/>
    </row>
    <row r="398" spans="1:31" s="56" customFormat="1" ht="11.4" customHeight="1">
      <c r="B398" s="503" t="s">
        <v>104</v>
      </c>
      <c r="C398" s="419"/>
      <c r="D398" s="419"/>
      <c r="E398" s="58"/>
      <c r="F398" s="504" t="str">
        <f>CONCATENATE(CHOOSE(MOD(G398,10)+1,"癸","甲","乙","丙","丁","戊","己","庚","辛","壬"),(CHOOSE(MOD(G398,12)+1,"亥","子","丑","寅","卯","辰","巳","午","未","申","酉","戌")))</f>
        <v>丙申</v>
      </c>
      <c r="G398" s="60">
        <f t="shared" si="56"/>
        <v>33</v>
      </c>
      <c r="H398" s="380">
        <f>MOD(H397+359.75,蔀月)</f>
        <v>396.25</v>
      </c>
      <c r="I398" s="61" t="str">
        <f>IF(H397+359.75&gt;=蔀月,"+1","")</f>
        <v/>
      </c>
      <c r="J398" s="415">
        <f t="shared" si="45"/>
        <v>42.154255319148938</v>
      </c>
      <c r="K398" s="410">
        <f t="shared" si="48"/>
        <v>357.61515957446784</v>
      </c>
      <c r="L398" s="408" t="str">
        <f t="shared" si="46"/>
        <v>大雪</v>
      </c>
      <c r="M398" s="415">
        <f t="shared" si="47"/>
        <v>27.25</v>
      </c>
      <c r="N398" s="416" t="str">
        <f t="shared" si="55"/>
        <v/>
      </c>
      <c r="P398"/>
      <c r="Q398"/>
      <c r="R398"/>
      <c r="S398"/>
      <c r="T398"/>
      <c r="U398"/>
      <c r="V398"/>
      <c r="AB398"/>
      <c r="AC398"/>
      <c r="AD398" s="67"/>
      <c r="AE398"/>
    </row>
    <row r="399" spans="1:31" ht="11.4" customHeight="1">
      <c r="A399" s="427"/>
      <c r="B399" s="505" t="s">
        <v>629</v>
      </c>
      <c r="C399" s="506">
        <f>C395+1</f>
        <v>14</v>
      </c>
      <c r="D399" s="623">
        <f>IF(C399=$I$320+1,D395,MOD(D395,12)+1)</f>
        <v>12</v>
      </c>
      <c r="E399" s="624" t="str">
        <f>CONCATENATE(IF(ABS(D399-C399)&gt;8,"前年",""),IF(D399=D395,"閏",""),CHOOSE(D399,"正","二","三","四","五","六","七","八","九","十","十一","十二"),"月")</f>
        <v>十二月</v>
      </c>
      <c r="F399" s="507" t="str">
        <f>INDEX(G$239:G$253,MATCH($C399,$B$239:$B$253))</f>
        <v>癸卯</v>
      </c>
      <c r="G399" s="508">
        <f>INDEX(H$239:H$253,MATCH($C399,$B$239:$B$253))</f>
        <v>40</v>
      </c>
      <c r="H399" s="509">
        <f>INDEX(E$239:E$253,MATCH($C399,$B$239:$B$253))</f>
        <v>756</v>
      </c>
      <c r="I399" s="510"/>
      <c r="J399" s="511">
        <f t="shared" si="45"/>
        <v>80.425531914893611</v>
      </c>
      <c r="K399" s="512">
        <f t="shared" si="48"/>
        <v>364.99787234042526</v>
      </c>
      <c r="L399" s="513" t="str">
        <f t="shared" si="46"/>
        <v>冬至</v>
      </c>
      <c r="M399" s="511">
        <f t="shared" si="47"/>
        <v>27.5</v>
      </c>
      <c r="N399" s="514" t="str">
        <f t="shared" si="55"/>
        <v/>
      </c>
      <c r="O399" s="427"/>
    </row>
    <row r="400" spans="1:31" ht="11.4" customHeight="1">
      <c r="B400" s="347" t="s">
        <v>102</v>
      </c>
      <c r="C400" s="419"/>
      <c r="D400" s="419"/>
      <c r="E400" s="63"/>
      <c r="F400" s="53" t="str">
        <f>CONCATENATE(CHOOSE(MOD(G400,10)+1,"癸","甲","乙","丙","丁","戊","己","庚","辛","壬"),(CHOOSE(MOD(G400,12)+1,"亥","子","丑","寅","卯","辰","巳","午","未","申","酉","戌")))</f>
        <v>辛亥</v>
      </c>
      <c r="G400" s="54">
        <f>MOD(G399+7+IF(I400="+1",1,0)-1,60)+1</f>
        <v>48</v>
      </c>
      <c r="H400" s="381">
        <f>MOD(H399+359.75,蔀月)</f>
        <v>175.75</v>
      </c>
      <c r="I400" s="64" t="str">
        <f>IF(H399+359.75&gt;=蔀月,"+1","")</f>
        <v>+1</v>
      </c>
      <c r="J400" s="417">
        <f t="shared" si="45"/>
        <v>18.696808510638299</v>
      </c>
      <c r="K400" s="410">
        <f t="shared" si="48"/>
        <v>372.38058510638268</v>
      </c>
      <c r="L400" s="408" t="str">
        <f t="shared" si="46"/>
        <v>冬至</v>
      </c>
      <c r="M400" s="417">
        <f t="shared" si="47"/>
        <v>27.5</v>
      </c>
      <c r="N400" s="207" t="str">
        <f t="shared" si="55"/>
        <v>筭上為日</v>
      </c>
    </row>
    <row r="401" spans="1:14" ht="11.4" customHeight="1">
      <c r="B401" s="347" t="s">
        <v>103</v>
      </c>
      <c r="C401" s="419"/>
      <c r="D401" s="419"/>
      <c r="E401" s="63"/>
      <c r="F401" s="53" t="str">
        <f>CONCATENATE(CHOOSE(MOD(G401,10)+1,"癸","甲","乙","丙","丁","戊","己","庚","辛","壬"),(CHOOSE(MOD(G401,12)+1,"亥","子","丑","寅","卯","辰","巳","午","未","申","酉","戌")))</f>
        <v>戊午</v>
      </c>
      <c r="G401" s="54">
        <f t="shared" ref="G401:G402" si="57">MOD(G400+7+IF(I401="+1",1,0)-1,60)+1</f>
        <v>55</v>
      </c>
      <c r="H401" s="381">
        <f>MOD(H400+359.75,蔀月)</f>
        <v>535.5</v>
      </c>
      <c r="I401" s="64" t="str">
        <f>IF(H400+359.75&gt;=蔀月,"+1","")</f>
        <v/>
      </c>
      <c r="J401" s="417">
        <f t="shared" si="45"/>
        <v>56.968085106382979</v>
      </c>
      <c r="K401" s="410">
        <f t="shared" si="48"/>
        <v>379.7632978723401</v>
      </c>
      <c r="L401" s="408" t="str">
        <f t="shared" si="46"/>
        <v>小寒</v>
      </c>
      <c r="M401" s="417">
        <f t="shared" si="47"/>
        <v>27.1</v>
      </c>
      <c r="N401" s="207" t="str">
        <f t="shared" si="55"/>
        <v/>
      </c>
    </row>
    <row r="402" spans="1:14" ht="11.4" customHeight="1">
      <c r="B402" s="347" t="s">
        <v>104</v>
      </c>
      <c r="C402" s="419"/>
      <c r="D402" s="419"/>
      <c r="E402" s="63"/>
      <c r="F402" s="53" t="str">
        <f>CONCATENATE(CHOOSE(MOD(G402,10)+1,"癸","甲","乙","丙","丁","戊","己","庚","辛","壬"),(CHOOSE(MOD(G402,12)+1,"亥","子","丑","寅","卯","辰","巳","午","未","申","酉","戌")))</f>
        <v>乙丑</v>
      </c>
      <c r="G402" s="54">
        <f t="shared" si="57"/>
        <v>2</v>
      </c>
      <c r="H402" s="381">
        <f>MOD(H401+359.75,蔀月)</f>
        <v>895.25</v>
      </c>
      <c r="I402" s="64" t="str">
        <f>IF(H401+359.75&gt;=蔀月,"+1","")</f>
        <v/>
      </c>
      <c r="J402" s="417">
        <f t="shared" si="45"/>
        <v>95.239361702127653</v>
      </c>
      <c r="K402" s="410">
        <f t="shared" si="48"/>
        <v>387.14601063829753</v>
      </c>
      <c r="L402" s="408" t="str">
        <f t="shared" si="46"/>
        <v>小寒</v>
      </c>
      <c r="M402" s="417">
        <f t="shared" si="47"/>
        <v>27.1</v>
      </c>
      <c r="N402" s="207" t="str">
        <f t="shared" si="55"/>
        <v/>
      </c>
    </row>
    <row r="403" spans="1:14" ht="11.4" customHeight="1">
      <c r="B403" s="368" t="s">
        <v>630</v>
      </c>
      <c r="C403" s="419">
        <f>C399+1</f>
        <v>15</v>
      </c>
      <c r="D403" s="419">
        <f>IF(C403=$I$320+1,D399,MOD(D399,12)+1)</f>
        <v>12</v>
      </c>
      <c r="E403" s="401" t="str">
        <f>CONCATENATE(IF(ABS(D403-C403)&gt;8,"前年",""),IF(D403=D399,"閏",""),CHOOSE(D403,"正","二","三","四","五","六","七","八","九","十","十一","十二"),"月")</f>
        <v>閏十二月</v>
      </c>
      <c r="F403" s="369" t="str">
        <f>INDEX(G$239:G$253,MATCH($C403,$B$239:$B$253))</f>
        <v>癸酉</v>
      </c>
      <c r="G403" s="370">
        <f>INDEX(H$239:H$253,MATCH($C403,$B$239:$B$253))</f>
        <v>10</v>
      </c>
      <c r="H403" s="371">
        <f>INDEX(E$239:E$251,MATCH($C403,$B$239:$B$251))</f>
        <v>257</v>
      </c>
      <c r="I403" s="372"/>
      <c r="J403" s="415">
        <f t="shared" si="45"/>
        <v>27.340425531914892</v>
      </c>
      <c r="K403" s="410">
        <f t="shared" si="48"/>
        <v>394.52872340425495</v>
      </c>
      <c r="L403" s="408" t="str">
        <f t="shared" si="46"/>
        <v>大寒</v>
      </c>
      <c r="M403" s="415">
        <f t="shared" si="47"/>
        <v>26.6</v>
      </c>
      <c r="N403" s="416" t="str">
        <f>IF(J403&lt;M403,"筭上為日","")</f>
        <v/>
      </c>
    </row>
    <row r="404" spans="1:14" ht="11.4" customHeight="1">
      <c r="B404" s="378" t="s">
        <v>102</v>
      </c>
      <c r="C404" s="419"/>
      <c r="D404" s="419"/>
      <c r="E404" s="58"/>
      <c r="F404" s="59" t="str">
        <f>CONCATENATE(CHOOSE(MOD(G404,10)+1,"癸","甲","乙","丙","丁","戊","己","庚","辛","壬"),(CHOOSE(MOD(G404,12)+1,"亥","子","丑","寅","卯","辰","巳","午","未","申","酉","戌")))</f>
        <v>庚辰</v>
      </c>
      <c r="G404" s="60">
        <f>MOD(G403+7+IF(I404="+1",1,0)-1,60)+1</f>
        <v>17</v>
      </c>
      <c r="H404" s="380">
        <f>MOD(H403+359.75,蔀月)</f>
        <v>616.75</v>
      </c>
      <c r="I404" s="61" t="str">
        <f>IF(H403+359.75&gt;=蔀月,"+1","")</f>
        <v/>
      </c>
      <c r="J404" s="415">
        <f t="shared" si="45"/>
        <v>65.611702127659569</v>
      </c>
      <c r="K404" s="410">
        <f t="shared" si="48"/>
        <v>401.91143617021237</v>
      </c>
      <c r="L404" s="408" t="str">
        <f t="shared" si="46"/>
        <v>大寒</v>
      </c>
      <c r="M404" s="415">
        <f t="shared" si="47"/>
        <v>26.6</v>
      </c>
      <c r="N404" s="416" t="str">
        <f t="shared" ref="N404:N406" si="58">IF(J404&lt;M404,"筭上為日","")</f>
        <v/>
      </c>
    </row>
    <row r="405" spans="1:14" ht="11.4" customHeight="1">
      <c r="B405" s="378" t="s">
        <v>103</v>
      </c>
      <c r="C405" s="419"/>
      <c r="D405" s="419"/>
      <c r="E405" s="58"/>
      <c r="F405" s="59" t="str">
        <f>CONCATENATE(CHOOSE(MOD(G405,10)+1,"癸","甲","乙","丙","丁","戊","己","庚","辛","壬"),(CHOOSE(MOD(G405,12)+1,"亥","子","丑","寅","卯","辰","巳","午","未","申","酉","戌")))</f>
        <v>戊子</v>
      </c>
      <c r="G405" s="60">
        <f t="shared" ref="G405:G406" si="59">MOD(G404+7+IF(I405="+1",1,0)-1,60)+1</f>
        <v>25</v>
      </c>
      <c r="H405" s="380">
        <f>MOD(H404+359.75,蔀月)</f>
        <v>36.5</v>
      </c>
      <c r="I405" s="61" t="str">
        <f>IF(H404+359.75&gt;=蔀月,"+1","")</f>
        <v>+1</v>
      </c>
      <c r="J405" s="415">
        <f t="shared" si="45"/>
        <v>3.8829787234042552</v>
      </c>
      <c r="K405" s="410">
        <f t="shared" si="48"/>
        <v>409.29414893616979</v>
      </c>
      <c r="L405" s="408" t="str">
        <f t="shared" si="46"/>
        <v>立春</v>
      </c>
      <c r="M405" s="415">
        <f t="shared" si="47"/>
        <v>25.7</v>
      </c>
      <c r="N405" s="416" t="str">
        <f t="shared" si="58"/>
        <v>筭上為日</v>
      </c>
    </row>
    <row r="406" spans="1:14" ht="11.4" customHeight="1">
      <c r="B406" s="379" t="s">
        <v>104</v>
      </c>
      <c r="C406" s="419"/>
      <c r="D406" s="419"/>
      <c r="E406" s="58"/>
      <c r="F406" s="65" t="str">
        <f>CONCATENATE(CHOOSE(MOD(G406,10)+1,"癸","甲","乙","丙","丁","戊","己","庚","辛","壬"),(CHOOSE(MOD(G406,12)+1,"亥","子","丑","寅","卯","辰","巳","午","未","申","酉","戌")))</f>
        <v>乙未</v>
      </c>
      <c r="G406" s="60">
        <f t="shared" si="59"/>
        <v>32</v>
      </c>
      <c r="H406" s="380">
        <f>MOD(H405+359.75,蔀月)</f>
        <v>396.25</v>
      </c>
      <c r="I406" s="66" t="str">
        <f>IF(H405+359.75&gt;=蔀月,"+1","")</f>
        <v/>
      </c>
      <c r="J406" s="415">
        <f t="shared" si="45"/>
        <v>42.154255319148938</v>
      </c>
      <c r="K406" s="410">
        <f t="shared" si="48"/>
        <v>416.67686170212721</v>
      </c>
      <c r="L406" s="408" t="str">
        <f t="shared" si="46"/>
        <v>立春</v>
      </c>
      <c r="M406" s="415">
        <f t="shared" si="47"/>
        <v>25.7</v>
      </c>
      <c r="N406" s="416" t="str">
        <f t="shared" si="58"/>
        <v/>
      </c>
    </row>
    <row r="407" spans="1:14" ht="11.4" customHeight="1"/>
    <row r="408" spans="1:14" s="31" customFormat="1" ht="11.4" customHeight="1">
      <c r="A408" s="345" t="s">
        <v>608</v>
      </c>
      <c r="B408" s="346" t="s">
        <v>596</v>
      </c>
    </row>
    <row r="409" spans="1:14" ht="11.4" customHeight="1"/>
    <row r="410" spans="1:14" ht="44.4" customHeight="1">
      <c r="B410" s="871" t="s">
        <v>757</v>
      </c>
      <c r="C410" s="871"/>
      <c r="D410" s="871"/>
      <c r="E410" s="871"/>
      <c r="F410" s="871"/>
      <c r="G410" s="871"/>
    </row>
    <row r="411" spans="1:14" ht="12" customHeight="1"/>
    <row r="412" spans="1:14" s="26" customFormat="1" ht="12" customHeight="1">
      <c r="A412" s="344" t="s">
        <v>609</v>
      </c>
      <c r="B412" t="s">
        <v>597</v>
      </c>
      <c r="C412"/>
      <c r="D412"/>
      <c r="E412"/>
      <c r="F412"/>
      <c r="G412"/>
      <c r="H412"/>
      <c r="I412">
        <f>入蔀年-1</f>
        <v>64</v>
      </c>
      <c r="J412"/>
      <c r="K412"/>
    </row>
    <row r="413" spans="1:14" s="26" customFormat="1" ht="12" customHeight="1">
      <c r="A413" s="32"/>
      <c r="B413"/>
      <c r="C413"/>
      <c r="D413"/>
      <c r="E413"/>
      <c r="F413"/>
      <c r="G413"/>
      <c r="H413"/>
      <c r="I413"/>
      <c r="J413"/>
      <c r="K413"/>
    </row>
    <row r="414" spans="1:14" s="26" customFormat="1" ht="12" customHeight="1">
      <c r="A414" s="32"/>
      <c r="B414" t="s">
        <v>598</v>
      </c>
      <c r="C414"/>
      <c r="D414"/>
      <c r="E414"/>
      <c r="F414"/>
      <c r="G414"/>
      <c r="H414"/>
      <c r="I414">
        <f>I412*沒數</f>
        <v>1344</v>
      </c>
      <c r="J414"/>
      <c r="K414"/>
    </row>
    <row r="415" spans="1:14" s="26" customFormat="1" ht="12" customHeight="1">
      <c r="A415" s="32"/>
      <c r="B415" t="s">
        <v>599</v>
      </c>
      <c r="C415"/>
      <c r="D415"/>
      <c r="E415"/>
      <c r="F415"/>
      <c r="G415"/>
      <c r="H415"/>
      <c r="I415" s="34">
        <f>INT(I414/日法)</f>
        <v>336</v>
      </c>
      <c r="J415" s="319">
        <f>MOD(I414,日法)</f>
        <v>0</v>
      </c>
      <c r="K415"/>
    </row>
    <row r="416" spans="1:14" s="26" customFormat="1" ht="12" customHeight="1">
      <c r="A416" s="32"/>
      <c r="B416"/>
      <c r="C416"/>
      <c r="D416"/>
      <c r="E416"/>
      <c r="F416"/>
      <c r="G416"/>
      <c r="H416"/>
      <c r="I416"/>
      <c r="J416"/>
      <c r="K416"/>
    </row>
    <row r="417" spans="1:12" s="26" customFormat="1" ht="12" customHeight="1">
      <c r="A417" s="32"/>
      <c r="B417" t="s">
        <v>600</v>
      </c>
      <c r="C417"/>
      <c r="D417"/>
      <c r="E417"/>
      <c r="F417"/>
      <c r="G417"/>
      <c r="H417"/>
      <c r="I417">
        <f>沒積*通法</f>
        <v>163632</v>
      </c>
      <c r="J417"/>
      <c r="K417"/>
    </row>
    <row r="418" spans="1:12" s="26" customFormat="1" ht="12" customHeight="1">
      <c r="A418" s="32"/>
      <c r="B418" t="s">
        <v>601</v>
      </c>
      <c r="C418"/>
      <c r="D418"/>
      <c r="E418"/>
      <c r="F418"/>
      <c r="G418"/>
      <c r="H418"/>
      <c r="I418" s="34">
        <f>INT(I417/沒法)</f>
        <v>23376</v>
      </c>
      <c r="J418" s="319">
        <f>MOD(I417,沒法)</f>
        <v>0</v>
      </c>
      <c r="K418"/>
    </row>
    <row r="419" spans="1:12" s="26" customFormat="1" ht="12" customHeight="1">
      <c r="A419" s="32"/>
      <c r="B419"/>
      <c r="C419"/>
      <c r="D419"/>
      <c r="E419"/>
      <c r="F419"/>
      <c r="G419"/>
      <c r="H419"/>
      <c r="I419"/>
      <c r="J419"/>
      <c r="K419"/>
    </row>
    <row r="420" spans="1:12" s="26" customFormat="1" ht="12" customHeight="1">
      <c r="A420" s="32"/>
      <c r="B420" t="s">
        <v>602</v>
      </c>
      <c r="C420"/>
      <c r="D420"/>
      <c r="E420"/>
      <c r="F420"/>
      <c r="G420"/>
      <c r="H420"/>
      <c r="I420">
        <f>MOD(I418,60)</f>
        <v>36</v>
      </c>
      <c r="J420"/>
      <c r="K420"/>
    </row>
    <row r="421" spans="1:12" s="26" customFormat="1" ht="12" customHeight="1">
      <c r="A421" s="32"/>
      <c r="B421" t="s">
        <v>603</v>
      </c>
      <c r="C421"/>
      <c r="D421"/>
      <c r="E421"/>
      <c r="F421"/>
      <c r="G421"/>
      <c r="H421"/>
      <c r="I421" s="320" t="str">
        <f>CONCATENATE(CHOOSE(MOD(J421,10)+1,"癸","甲","乙","丙","丁","戊","己","庚","辛","壬"),(CHOOSE(MOD(J421,12)+1,"亥","子","丑","寅","卯","辰","巳","午","未","申","酉","戌")))</f>
        <v>丁酉</v>
      </c>
      <c r="J421" s="319">
        <f>MOD(I420+蔀名-1,60)+1</f>
        <v>34</v>
      </c>
      <c r="K421"/>
      <c r="L421" s="52"/>
    </row>
    <row r="422" spans="1:12" s="26" customFormat="1" ht="12" customHeight="1">
      <c r="A422" s="32"/>
      <c r="B422"/>
      <c r="C422"/>
      <c r="D422"/>
      <c r="E422"/>
      <c r="F422"/>
      <c r="G422"/>
      <c r="H422"/>
      <c r="K422"/>
    </row>
    <row r="423" spans="1:12" s="26" customFormat="1" ht="12" customHeight="1">
      <c r="A423" s="32"/>
      <c r="B423" t="s">
        <v>105</v>
      </c>
      <c r="C423"/>
      <c r="D423"/>
      <c r="E423"/>
      <c r="F423"/>
      <c r="G423"/>
      <c r="H423"/>
      <c r="I423"/>
      <c r="J423"/>
      <c r="K423"/>
    </row>
    <row r="424" spans="1:12" s="26" customFormat="1" ht="12" customHeight="1">
      <c r="A424" s="47"/>
      <c r="B424"/>
      <c r="C424"/>
      <c r="D424"/>
      <c r="E424"/>
      <c r="F424"/>
      <c r="G424"/>
      <c r="H424"/>
      <c r="I424"/>
      <c r="J424"/>
      <c r="K424"/>
    </row>
    <row r="425" spans="1:12" s="26" customFormat="1" ht="12" customHeight="1">
      <c r="A425" s="47"/>
      <c r="B425" s="423"/>
      <c r="C425" s="424" t="s">
        <v>100</v>
      </c>
      <c r="D425" s="425" t="s">
        <v>101</v>
      </c>
      <c r="E425" s="426"/>
      <c r="F425" s="424" t="s">
        <v>604</v>
      </c>
      <c r="G425" s="424" t="s">
        <v>557</v>
      </c>
      <c r="H425" s="427"/>
      <c r="I425" s="442" t="s">
        <v>605</v>
      </c>
      <c r="J425"/>
      <c r="K425"/>
    </row>
    <row r="426" spans="1:12" s="26" customFormat="1" ht="12" customHeight="1">
      <c r="A426" s="47"/>
      <c r="B426" s="446">
        <v>1</v>
      </c>
      <c r="C426" s="439">
        <f>I418</f>
        <v>23376</v>
      </c>
      <c r="D426" s="440">
        <f>J418</f>
        <v>0</v>
      </c>
      <c r="E426" s="440"/>
      <c r="F426" s="439">
        <f>I420</f>
        <v>36</v>
      </c>
      <c r="G426" s="441" t="str">
        <f>I421</f>
        <v>丁酉</v>
      </c>
      <c r="H426" s="440">
        <f>J421</f>
        <v>34</v>
      </c>
      <c r="I426" s="443" t="str">
        <f>IF(D426=0,"滅","沒")</f>
        <v>滅</v>
      </c>
      <c r="J426" s="48"/>
      <c r="K426" s="48"/>
      <c r="L426" s="76"/>
    </row>
    <row r="427" spans="1:12" s="26" customFormat="1" ht="12" customHeight="1">
      <c r="A427" s="47"/>
      <c r="B427" s="447">
        <v>2</v>
      </c>
      <c r="C427" s="431">
        <f>C426+69+IF(E427="+1",1)</f>
        <v>23445</v>
      </c>
      <c r="D427" s="432">
        <f>MOD(D426+4,沒法)</f>
        <v>4</v>
      </c>
      <c r="E427" s="74" t="str">
        <f>IF(D426+4&gt;=沒法,"+1","")</f>
        <v/>
      </c>
      <c r="F427" s="75">
        <f>MOD(C427,60)</f>
        <v>45</v>
      </c>
      <c r="G427" s="433" t="str">
        <f>CONCATENATE(CHOOSE(MOD(H427,10)+1,"癸","甲","乙","丙","丁","戊","己","庚","辛","壬"),(CHOOSE(MOD(H427,12)+1,"亥","子","丑","寅","卯","辰","巳","午","未","申","酉","戌")))</f>
        <v>丙午</v>
      </c>
      <c r="H427" s="432">
        <f>MOD(F427+蔀名-1,60)+1</f>
        <v>43</v>
      </c>
      <c r="I427" s="444" t="str">
        <f t="shared" ref="I427:I429" si="60">IF(D427=0,"滅","沒")</f>
        <v>沒</v>
      </c>
      <c r="J427" s="48"/>
      <c r="K427" s="48"/>
      <c r="L427" s="76"/>
    </row>
    <row r="428" spans="1:12" s="26" customFormat="1" ht="12" customHeight="1">
      <c r="A428" s="47"/>
      <c r="B428" s="447">
        <v>3</v>
      </c>
      <c r="C428" s="431">
        <f t="shared" ref="C428:C429" si="61">C427+69+IF(E428="+1",1)</f>
        <v>23515</v>
      </c>
      <c r="D428" s="432">
        <f>MOD(D427+4,沒法)</f>
        <v>1</v>
      </c>
      <c r="E428" s="74" t="str">
        <f>IF(D427+4&gt;=沒法,"+1","")</f>
        <v>+1</v>
      </c>
      <c r="F428" s="75">
        <f t="shared" ref="F428:F429" si="62">MOD(C428,60)</f>
        <v>55</v>
      </c>
      <c r="G428" s="433" t="str">
        <f t="shared" ref="G428:G429" si="63">CONCATENATE(CHOOSE(MOD(H428,10)+1,"癸","甲","乙","丙","丁","戊","己","庚","辛","壬"),(CHOOSE(MOD(H428,12)+1,"亥","子","丑","寅","卯","辰","巳","午","未","申","酉","戌")))</f>
        <v>丙辰</v>
      </c>
      <c r="H428" s="432">
        <f>MOD(F428+蔀名-1,60)+1</f>
        <v>53</v>
      </c>
      <c r="I428" s="444" t="str">
        <f t="shared" si="60"/>
        <v>沒</v>
      </c>
      <c r="J428" s="48"/>
      <c r="K428" s="48"/>
      <c r="L428" s="76"/>
    </row>
    <row r="429" spans="1:12" s="26" customFormat="1" ht="12" customHeight="1">
      <c r="A429" s="47"/>
      <c r="B429" s="448">
        <v>4</v>
      </c>
      <c r="C429" s="434">
        <f t="shared" si="61"/>
        <v>23584</v>
      </c>
      <c r="D429" s="435">
        <f>MOD(D428+4,沒法)</f>
        <v>5</v>
      </c>
      <c r="E429" s="436" t="str">
        <f>IF(D428+4&gt;=沒法,"+1","")</f>
        <v/>
      </c>
      <c r="F429" s="437">
        <f t="shared" si="62"/>
        <v>4</v>
      </c>
      <c r="G429" s="438" t="str">
        <f t="shared" si="63"/>
        <v>乙丑</v>
      </c>
      <c r="H429" s="435">
        <f>MOD(F429+蔀名-1,60)+1</f>
        <v>2</v>
      </c>
      <c r="I429" s="445" t="str">
        <f t="shared" si="60"/>
        <v>沒</v>
      </c>
      <c r="J429" s="48"/>
      <c r="K429" s="48"/>
      <c r="L429" s="76"/>
    </row>
    <row r="430" spans="1:12" s="26" customFormat="1" ht="12" customHeight="1" thickBot="1">
      <c r="A430" s="47"/>
      <c r="B430" s="69"/>
      <c r="C430" s="10"/>
      <c r="D430" s="10"/>
      <c r="E430" s="10"/>
      <c r="F430" s="10"/>
      <c r="G430" s="10"/>
      <c r="H430" s="10"/>
      <c r="I430" s="10"/>
      <c r="J430" s="10"/>
      <c r="K430" s="10"/>
    </row>
    <row r="431" spans="1:12" s="26" customFormat="1" ht="12" customHeight="1" thickTop="1">
      <c r="A431" s="47"/>
      <c r="B431" s="70"/>
      <c r="C431" s="71"/>
      <c r="D431" s="71"/>
      <c r="E431" s="71"/>
      <c r="F431" s="71"/>
      <c r="G431" s="71"/>
      <c r="H431" s="71"/>
      <c r="I431" s="71"/>
      <c r="J431" s="71"/>
      <c r="K431" s="71"/>
    </row>
    <row r="432" spans="1:12" s="582" customFormat="1" ht="12" customHeight="1">
      <c r="A432" s="580" t="s">
        <v>758</v>
      </c>
      <c r="B432" s="405" t="s">
        <v>667</v>
      </c>
      <c r="C432" s="581"/>
      <c r="D432" s="581"/>
      <c r="E432" s="581"/>
      <c r="F432" s="581"/>
      <c r="G432" s="581"/>
      <c r="H432" s="581"/>
      <c r="I432" s="581"/>
      <c r="J432" s="581"/>
      <c r="K432" s="581"/>
    </row>
    <row r="433" spans="1:13" s="26" customFormat="1" ht="12" customHeight="1">
      <c r="A433" s="344" t="s">
        <v>610</v>
      </c>
      <c r="B433" t="s">
        <v>759</v>
      </c>
      <c r="C433"/>
      <c r="D433"/>
      <c r="E433"/>
      <c r="F433"/>
      <c r="G433"/>
      <c r="H433"/>
      <c r="I433">
        <f>氣小餘*15</f>
        <v>0</v>
      </c>
    </row>
    <row r="434" spans="1:13" ht="12" customHeight="1">
      <c r="B434" t="s">
        <v>760</v>
      </c>
      <c r="I434">
        <f>通法-I433</f>
        <v>487</v>
      </c>
    </row>
    <row r="435" spans="1:13" ht="12" customHeight="1">
      <c r="B435" t="s">
        <v>761</v>
      </c>
      <c r="I435" s="34">
        <f>INT(I434/沒法)</f>
        <v>69</v>
      </c>
      <c r="J435" s="319">
        <f>MOD(I434,沒法)</f>
        <v>4</v>
      </c>
    </row>
    <row r="436" spans="1:13" ht="12" customHeight="1"/>
    <row r="437" spans="1:13">
      <c r="B437" s="871" t="s">
        <v>762</v>
      </c>
      <c r="C437" s="871"/>
      <c r="D437" s="871"/>
      <c r="E437" s="871"/>
      <c r="F437" s="871"/>
      <c r="G437" s="871"/>
      <c r="H437" s="871"/>
      <c r="I437" s="871"/>
      <c r="J437" s="563"/>
    </row>
    <row r="438" spans="1:13">
      <c r="B438" s="563"/>
      <c r="C438" s="563"/>
      <c r="D438" s="563"/>
      <c r="E438" s="563"/>
      <c r="F438" s="563"/>
      <c r="G438" s="563"/>
      <c r="H438" s="407" t="s">
        <v>751</v>
      </c>
      <c r="I438" s="407">
        <f>MOD(I435,60)</f>
        <v>9</v>
      </c>
      <c r="J438" s="563"/>
    </row>
    <row r="439" spans="1:13">
      <c r="B439" s="563"/>
      <c r="C439" s="563"/>
      <c r="D439" s="563"/>
      <c r="E439" s="563"/>
      <c r="F439" s="563"/>
      <c r="G439" s="563"/>
      <c r="H439" s="583" t="s">
        <v>763</v>
      </c>
      <c r="I439" s="407" t="str">
        <f>CONCATENATE(CHOOSE(MOD(J439,10)+1,"癸","甲","乙","丙","丁","戊","己","庚","辛","壬"),(CHOOSE(MOD(J439,12)+1,"亥","子","丑","寅","卯","辰","巳","午","未","申","酉","戌")))</f>
        <v>丙午</v>
      </c>
      <c r="J439" s="584">
        <f>MOD(J282+I438-1,60)+1</f>
        <v>43</v>
      </c>
    </row>
    <row r="440" spans="1:13">
      <c r="B440" s="563"/>
      <c r="C440" s="563"/>
      <c r="D440" s="563"/>
      <c r="E440" s="563"/>
      <c r="F440" s="563"/>
      <c r="G440" s="563"/>
      <c r="H440" s="563"/>
      <c r="I440" s="563"/>
      <c r="J440" s="563"/>
    </row>
    <row r="441" spans="1:13" ht="12" customHeight="1"/>
    <row r="442" spans="1:13" s="451" customFormat="1" ht="12" customHeight="1">
      <c r="A442" s="449" t="s">
        <v>611</v>
      </c>
      <c r="B442" s="450" t="s">
        <v>606</v>
      </c>
    </row>
    <row r="443" spans="1:13" ht="12" customHeight="1"/>
    <row r="444" spans="1:13" s="455" customFormat="1" ht="141" customHeight="1">
      <c r="A444" s="452"/>
      <c r="B444" s="871" t="s">
        <v>615</v>
      </c>
      <c r="C444" s="871"/>
      <c r="D444" s="871"/>
      <c r="E444" s="871"/>
      <c r="F444" s="871"/>
      <c r="G444" s="871"/>
      <c r="H444" s="871"/>
      <c r="I444" s="871"/>
      <c r="J444" s="457"/>
      <c r="K444" s="454"/>
    </row>
    <row r="445" spans="1:13" s="455" customFormat="1" ht="17.399999999999999" thickBot="1">
      <c r="A445" s="452"/>
      <c r="B445" s="458"/>
      <c r="C445" s="458"/>
      <c r="D445" s="458"/>
      <c r="E445" s="458"/>
      <c r="F445" s="458"/>
      <c r="G445" s="458"/>
      <c r="H445" s="458"/>
      <c r="I445" s="458"/>
      <c r="J445" s="457"/>
      <c r="K445" s="454"/>
    </row>
    <row r="446" spans="1:13" s="455" customFormat="1" ht="14.25" customHeight="1" thickBot="1">
      <c r="A446" s="452"/>
      <c r="B446" s="458"/>
      <c r="C446" s="459" t="s">
        <v>616</v>
      </c>
      <c r="D446" s="460" t="s">
        <v>617</v>
      </c>
      <c r="E446" s="458"/>
      <c r="F446" s="458"/>
      <c r="G446" s="458"/>
      <c r="H446" s="458"/>
      <c r="I446" s="458"/>
      <c r="J446" s="457"/>
      <c r="K446" s="454"/>
    </row>
    <row r="447" spans="1:13" s="455" customFormat="1">
      <c r="A447" s="452"/>
      <c r="B447" s="458"/>
      <c r="C447" s="458"/>
      <c r="D447" s="458"/>
      <c r="E447" s="458"/>
      <c r="F447" s="458"/>
      <c r="G447" s="458"/>
      <c r="H447" s="458"/>
      <c r="I447" s="458"/>
      <c r="J447" s="457"/>
      <c r="K447"/>
      <c r="L447"/>
      <c r="M447"/>
    </row>
    <row r="448" spans="1:13" s="455" customFormat="1">
      <c r="A448" s="452"/>
      <c r="B448" s="845" t="s">
        <v>1043</v>
      </c>
      <c r="C448" s="838"/>
      <c r="D448" s="838"/>
      <c r="E448" s="838"/>
      <c r="F448" s="838"/>
      <c r="G448" s="838"/>
      <c r="H448" s="838"/>
      <c r="I448" s="838"/>
      <c r="J448" s="457"/>
      <c r="K448"/>
      <c r="L448"/>
      <c r="M448"/>
    </row>
    <row r="449" spans="1:16" ht="12" customHeight="1"/>
    <row r="450" spans="1:16" s="455" customFormat="1" ht="12" customHeight="1">
      <c r="A450" s="452" t="s">
        <v>612</v>
      </c>
      <c r="B450" s="453" t="str">
        <f>IF(D446="Liu Hongtao","置入蔀積日，…………………………………………………………………………………………………","置入蔀積月，…………………………………………………………………………………………………")</f>
        <v>置入蔀積月，…………………………………………………………………………………………………</v>
      </c>
      <c r="C450" s="453"/>
      <c r="D450" s="453"/>
      <c r="E450" s="453"/>
      <c r="F450" s="453"/>
      <c r="G450" s="453"/>
      <c r="H450" s="453"/>
      <c r="I450" s="456">
        <f>IF(D446="Liu Hongtao",積日,積月)</f>
        <v>791</v>
      </c>
      <c r="J450" s="457" t="str">
        <f>IF(D446="Liu Hongtao",積日小餘,"")</f>
        <v/>
      </c>
      <c r="K450"/>
      <c r="L450"/>
      <c r="M450"/>
    </row>
    <row r="451" spans="1:16" s="26" customFormat="1" ht="12" customHeight="1">
      <c r="A451" s="47"/>
      <c r="B451" s="48"/>
      <c r="C451" s="48"/>
      <c r="D451" s="48"/>
      <c r="E451" s="48"/>
      <c r="F451" s="48"/>
      <c r="G451" s="48"/>
      <c r="H451" s="50"/>
      <c r="I451" s="48"/>
      <c r="K451"/>
      <c r="L451"/>
      <c r="M451"/>
      <c r="N451"/>
      <c r="O451"/>
      <c r="P451"/>
    </row>
    <row r="452" spans="1:16" s="26" customFormat="1" ht="12" customHeight="1">
      <c r="A452" s="47"/>
      <c r="B452" s="453" t="str">
        <f>IF(D446="Liu Hongtao","以蔀月乘之，并小餘，…………………………………………………………………………………………………","以蔀日乘之，…………………………………………………………………………………………………")</f>
        <v>以蔀日乘之，…………………………………………………………………………………………………</v>
      </c>
      <c r="C452" s="101"/>
      <c r="D452" s="101"/>
      <c r="E452" s="101"/>
      <c r="F452" s="101"/>
      <c r="G452" s="101"/>
      <c r="H452" s="48"/>
      <c r="I452" s="456">
        <f>IF(D446="Liu Hongtao",I450*蔀月+J450,I450*蔀日)</f>
        <v>21957369</v>
      </c>
      <c r="J452" s="73"/>
      <c r="K452"/>
      <c r="L452"/>
      <c r="M452"/>
      <c r="N452"/>
      <c r="O452"/>
      <c r="P452"/>
    </row>
    <row r="453" spans="1:16" s="26" customFormat="1" ht="12" customHeight="1">
      <c r="A453" s="47"/>
      <c r="B453" s="453" t="s">
        <v>613</v>
      </c>
      <c r="C453" s="48"/>
      <c r="D453" s="48"/>
      <c r="E453" s="48"/>
      <c r="F453" s="48"/>
      <c r="G453" s="48"/>
      <c r="H453" s="48"/>
      <c r="I453" s="48">
        <f>MOD(I452,大周)</f>
        <v>327264</v>
      </c>
      <c r="K453"/>
      <c r="L453"/>
      <c r="M453"/>
      <c r="N453"/>
      <c r="O453"/>
      <c r="P453"/>
    </row>
    <row r="454" spans="1:16" s="26" customFormat="1" ht="12" customHeight="1">
      <c r="A454" s="47"/>
      <c r="B454" s="48" t="s">
        <v>614</v>
      </c>
      <c r="C454" s="48"/>
      <c r="D454" s="48"/>
      <c r="E454" s="48"/>
      <c r="F454" s="48"/>
      <c r="G454" s="404"/>
      <c r="H454" s="404"/>
      <c r="I454" s="34">
        <f>INT(I453/蔀月)</f>
        <v>348</v>
      </c>
      <c r="J454" s="319">
        <f>MOD(I453,蔀月)</f>
        <v>144</v>
      </c>
      <c r="M454"/>
      <c r="N454"/>
      <c r="O454"/>
      <c r="P454"/>
    </row>
    <row r="455" spans="1:16" s="26" customFormat="1" ht="12" customHeight="1">
      <c r="A455" s="47"/>
      <c r="B455" s="48"/>
      <c r="C455" s="48"/>
      <c r="D455" s="48"/>
      <c r="E455" s="48"/>
      <c r="F455" s="48"/>
      <c r="G455" s="48"/>
      <c r="H455" s="48"/>
      <c r="I455" s="74"/>
      <c r="J455"/>
      <c r="K455" s="75"/>
      <c r="M455"/>
      <c r="N455"/>
      <c r="O455"/>
      <c r="P455"/>
    </row>
    <row r="456" spans="1:16" s="26" customFormat="1" ht="12" customHeight="1">
      <c r="A456" s="47"/>
      <c r="B456" s="48" t="s">
        <v>618</v>
      </c>
      <c r="C456" s="48"/>
      <c r="D456" s="48"/>
      <c r="E456" s="48"/>
      <c r="F456" s="48"/>
      <c r="G456" s="48"/>
      <c r="H456" s="48"/>
      <c r="I456" s="34">
        <f>積度+21+IF(J456&lt;積度余分,1)</f>
        <v>369</v>
      </c>
      <c r="J456" s="319">
        <f>MOD(積度余分+235,蔀月)</f>
        <v>379</v>
      </c>
      <c r="K456" s="75"/>
      <c r="M456"/>
      <c r="N456"/>
      <c r="O456"/>
      <c r="P456"/>
    </row>
    <row r="457" spans="1:16" s="26" customFormat="1" ht="12" customHeight="1">
      <c r="A457" s="47"/>
      <c r="B457" s="48"/>
      <c r="C457" s="48"/>
      <c r="D457" s="48"/>
      <c r="E457" s="48"/>
      <c r="F457" s="48"/>
      <c r="G457" s="48"/>
      <c r="H457" s="48"/>
      <c r="I457" s="74"/>
      <c r="J457"/>
      <c r="K457" s="75"/>
      <c r="M457"/>
      <c r="N457"/>
      <c r="O457"/>
      <c r="P457"/>
    </row>
    <row r="458" spans="1:16" ht="12" customHeight="1">
      <c r="B458" t="s">
        <v>106</v>
      </c>
      <c r="G458" s="405" t="s">
        <v>621</v>
      </c>
      <c r="H458" s="405" t="s">
        <v>622</v>
      </c>
      <c r="I458" s="406" t="s">
        <v>623</v>
      </c>
    </row>
    <row r="459" spans="1:16" ht="12" customHeight="1">
      <c r="G459" t="s">
        <v>404</v>
      </c>
      <c r="H459" s="461">
        <f>Tables!$D$4</f>
        <v>26.25</v>
      </c>
      <c r="I459" s="420">
        <f>I456</f>
        <v>369</v>
      </c>
      <c r="J459" s="421">
        <f>J456</f>
        <v>379</v>
      </c>
    </row>
    <row r="460" spans="1:16" ht="12" customHeight="1">
      <c r="G460" t="s">
        <v>426</v>
      </c>
      <c r="H460" s="461">
        <f>Tables!$D$5</f>
        <v>8</v>
      </c>
      <c r="I460" s="463">
        <f>I459-INT(H459)-IF(J460&gt;J459,1)</f>
        <v>343</v>
      </c>
      <c r="J460" s="464">
        <f>MOD(J459-235,蔀月)</f>
        <v>144</v>
      </c>
    </row>
    <row r="461" spans="1:16" ht="12" customHeight="1">
      <c r="G461" t="s">
        <v>408</v>
      </c>
      <c r="H461" s="461">
        <f>Tables!$D$6</f>
        <v>12</v>
      </c>
      <c r="I461" s="34">
        <f>I460-H460</f>
        <v>335</v>
      </c>
      <c r="J461" s="319">
        <f>J460</f>
        <v>144</v>
      </c>
    </row>
    <row r="462" spans="1:16" ht="12" customHeight="1">
      <c r="G462" t="s">
        <v>411</v>
      </c>
      <c r="H462" s="461">
        <f>Tables!$D$7</f>
        <v>10</v>
      </c>
      <c r="I462" s="34">
        <f t="shared" ref="I462:I480" si="64">I461-H461</f>
        <v>323</v>
      </c>
      <c r="J462" s="319">
        <f t="shared" ref="J462:J480" si="65">J461</f>
        <v>144</v>
      </c>
    </row>
    <row r="463" spans="1:16" ht="12" customHeight="1">
      <c r="G463" t="s">
        <v>414</v>
      </c>
      <c r="H463" s="461">
        <f>Tables!$D$8</f>
        <v>17</v>
      </c>
      <c r="I463" s="34">
        <f t="shared" si="64"/>
        <v>313</v>
      </c>
      <c r="J463" s="319">
        <f t="shared" si="65"/>
        <v>144</v>
      </c>
    </row>
    <row r="464" spans="1:16" ht="12" customHeight="1">
      <c r="G464" t="s">
        <v>417</v>
      </c>
      <c r="H464" s="461">
        <f>Tables!$D$9</f>
        <v>16</v>
      </c>
      <c r="I464" s="34">
        <f t="shared" si="64"/>
        <v>296</v>
      </c>
      <c r="J464" s="319">
        <f t="shared" si="65"/>
        <v>144</v>
      </c>
    </row>
    <row r="465" spans="7:10" ht="12" customHeight="1">
      <c r="G465" t="s">
        <v>420</v>
      </c>
      <c r="H465" s="461">
        <f>Tables!$D$10</f>
        <v>9</v>
      </c>
      <c r="I465" s="34">
        <f t="shared" si="64"/>
        <v>280</v>
      </c>
      <c r="J465" s="319">
        <f t="shared" si="65"/>
        <v>144</v>
      </c>
    </row>
    <row r="466" spans="7:10" ht="12" customHeight="1">
      <c r="G466" t="s">
        <v>405</v>
      </c>
      <c r="H466" s="461">
        <f>Tables!$D$11</f>
        <v>16</v>
      </c>
      <c r="I466" s="34">
        <f t="shared" si="64"/>
        <v>271</v>
      </c>
      <c r="J466" s="319">
        <f t="shared" si="65"/>
        <v>144</v>
      </c>
    </row>
    <row r="467" spans="7:10" ht="12" customHeight="1">
      <c r="G467" t="s">
        <v>409</v>
      </c>
      <c r="H467" s="461">
        <f>Tables!$D$12</f>
        <v>12</v>
      </c>
      <c r="I467" s="34">
        <f t="shared" si="64"/>
        <v>255</v>
      </c>
      <c r="J467" s="319">
        <f t="shared" si="65"/>
        <v>144</v>
      </c>
    </row>
    <row r="468" spans="7:10" ht="12" customHeight="1">
      <c r="G468" t="s">
        <v>412</v>
      </c>
      <c r="H468" s="461">
        <f>Tables!$D$13</f>
        <v>14</v>
      </c>
      <c r="I468" s="34">
        <f t="shared" si="64"/>
        <v>243</v>
      </c>
      <c r="J468" s="319">
        <f t="shared" si="65"/>
        <v>144</v>
      </c>
    </row>
    <row r="469" spans="7:10" ht="12" customHeight="1">
      <c r="G469" t="s">
        <v>424</v>
      </c>
      <c r="H469" s="461">
        <f>Tables!$D$14</f>
        <v>11</v>
      </c>
      <c r="I469" s="34">
        <f t="shared" si="64"/>
        <v>229</v>
      </c>
      <c r="J469" s="319">
        <f t="shared" si="65"/>
        <v>144</v>
      </c>
    </row>
    <row r="470" spans="7:10" ht="12" customHeight="1">
      <c r="G470" t="s">
        <v>415</v>
      </c>
      <c r="H470" s="461">
        <f>Tables!$D$15</f>
        <v>16</v>
      </c>
      <c r="I470" s="34">
        <f t="shared" si="64"/>
        <v>218</v>
      </c>
      <c r="J470" s="319">
        <f t="shared" si="65"/>
        <v>144</v>
      </c>
    </row>
    <row r="471" spans="7:10" ht="12" customHeight="1">
      <c r="G471" t="s">
        <v>619</v>
      </c>
      <c r="H471" s="461">
        <f>Tables!$D$16</f>
        <v>2</v>
      </c>
      <c r="I471" s="34">
        <f t="shared" si="64"/>
        <v>202</v>
      </c>
      <c r="J471" s="319">
        <f t="shared" si="65"/>
        <v>144</v>
      </c>
    </row>
    <row r="472" spans="7:10" ht="12" customHeight="1">
      <c r="G472" t="s">
        <v>418</v>
      </c>
      <c r="H472" s="461">
        <f>Tables!$D$17</f>
        <v>9</v>
      </c>
      <c r="I472" s="34">
        <f t="shared" si="64"/>
        <v>200</v>
      </c>
      <c r="J472" s="319">
        <f t="shared" si="65"/>
        <v>144</v>
      </c>
    </row>
    <row r="473" spans="7:10" ht="12" customHeight="1">
      <c r="G473" t="s">
        <v>421</v>
      </c>
      <c r="H473" s="461">
        <f>Tables!$D$18</f>
        <v>33</v>
      </c>
      <c r="I473" s="34">
        <f t="shared" si="64"/>
        <v>191</v>
      </c>
      <c r="J473" s="319">
        <f t="shared" si="65"/>
        <v>144</v>
      </c>
    </row>
    <row r="474" spans="7:10" ht="12" customHeight="1">
      <c r="G474" t="s">
        <v>422</v>
      </c>
      <c r="H474" s="461">
        <f>Tables!$D$19</f>
        <v>4</v>
      </c>
      <c r="I474" s="34">
        <f t="shared" si="64"/>
        <v>158</v>
      </c>
      <c r="J474" s="319">
        <f t="shared" si="65"/>
        <v>144</v>
      </c>
    </row>
    <row r="475" spans="7:10" ht="12" customHeight="1">
      <c r="G475" t="s">
        <v>429</v>
      </c>
      <c r="H475" s="461">
        <f>Tables!$D$20</f>
        <v>15</v>
      </c>
      <c r="I475" s="34">
        <f t="shared" si="64"/>
        <v>154</v>
      </c>
      <c r="J475" s="319">
        <f t="shared" si="65"/>
        <v>144</v>
      </c>
    </row>
    <row r="476" spans="7:10" ht="12" customHeight="1">
      <c r="G476" t="s">
        <v>423</v>
      </c>
      <c r="H476" s="461">
        <f>Tables!$D$21</f>
        <v>7</v>
      </c>
      <c r="I476" s="34">
        <f t="shared" si="64"/>
        <v>139</v>
      </c>
      <c r="J476" s="319">
        <f t="shared" si="65"/>
        <v>144</v>
      </c>
    </row>
    <row r="477" spans="7:10" ht="12" customHeight="1">
      <c r="G477" t="s">
        <v>425</v>
      </c>
      <c r="H477" s="461">
        <f>Tables!$D$22</f>
        <v>18</v>
      </c>
      <c r="I477" s="34">
        <f t="shared" si="64"/>
        <v>132</v>
      </c>
      <c r="J477" s="319">
        <f t="shared" si="65"/>
        <v>144</v>
      </c>
    </row>
    <row r="478" spans="7:10" ht="12" customHeight="1">
      <c r="G478" t="s">
        <v>427</v>
      </c>
      <c r="H478" s="461">
        <f>Tables!$D$23</f>
        <v>18</v>
      </c>
      <c r="I478" s="34">
        <f t="shared" si="64"/>
        <v>114</v>
      </c>
      <c r="J478" s="319">
        <f t="shared" si="65"/>
        <v>144</v>
      </c>
    </row>
    <row r="479" spans="7:10" ht="12" customHeight="1">
      <c r="G479" t="s">
        <v>430</v>
      </c>
      <c r="H479" s="461">
        <f>Tables!$D$24</f>
        <v>17</v>
      </c>
      <c r="I479" s="34">
        <f t="shared" si="64"/>
        <v>96</v>
      </c>
      <c r="J479" s="319">
        <f t="shared" si="65"/>
        <v>144</v>
      </c>
    </row>
    <row r="480" spans="7:10" ht="12" customHeight="1">
      <c r="G480" t="s">
        <v>428</v>
      </c>
      <c r="H480" s="461">
        <f>Tables!$D$25</f>
        <v>12</v>
      </c>
      <c r="I480" s="34">
        <f t="shared" si="64"/>
        <v>79</v>
      </c>
      <c r="J480" s="319">
        <f t="shared" si="65"/>
        <v>144</v>
      </c>
    </row>
    <row r="481" spans="1:16" ht="12" customHeight="1">
      <c r="G481" t="s">
        <v>406</v>
      </c>
      <c r="H481" s="461">
        <f>Tables!$D$26</f>
        <v>9</v>
      </c>
      <c r="I481" s="34">
        <f>I480-H480</f>
        <v>67</v>
      </c>
      <c r="J481" s="319">
        <f>J480</f>
        <v>144</v>
      </c>
    </row>
    <row r="482" spans="1:16" ht="12" customHeight="1">
      <c r="G482" t="s">
        <v>410</v>
      </c>
      <c r="H482" s="461">
        <f>Tables!$D$27</f>
        <v>15</v>
      </c>
      <c r="I482" s="34">
        <f t="shared" ref="I482:I487" si="66">I481-H481</f>
        <v>58</v>
      </c>
      <c r="J482" s="319">
        <f t="shared" ref="J482:J486" si="67">J481</f>
        <v>144</v>
      </c>
    </row>
    <row r="483" spans="1:16" ht="12" customHeight="1">
      <c r="G483" t="s">
        <v>620</v>
      </c>
      <c r="H483" s="461">
        <f>Tables!$D$28</f>
        <v>5</v>
      </c>
      <c r="I483" s="34">
        <f t="shared" si="66"/>
        <v>43</v>
      </c>
      <c r="J483" s="319">
        <f t="shared" si="67"/>
        <v>144</v>
      </c>
    </row>
    <row r="484" spans="1:16" ht="12" customHeight="1">
      <c r="G484" t="s">
        <v>413</v>
      </c>
      <c r="H484" s="461">
        <f>Tables!$D$29</f>
        <v>5</v>
      </c>
      <c r="I484" s="34">
        <f t="shared" si="66"/>
        <v>38</v>
      </c>
      <c r="J484" s="319">
        <f t="shared" si="67"/>
        <v>144</v>
      </c>
    </row>
    <row r="485" spans="1:16" ht="12" customHeight="1">
      <c r="G485" t="s">
        <v>416</v>
      </c>
      <c r="H485" s="461">
        <f>Tables!$D$30</f>
        <v>18</v>
      </c>
      <c r="I485" s="34">
        <f t="shared" si="66"/>
        <v>33</v>
      </c>
      <c r="J485" s="319">
        <f t="shared" si="67"/>
        <v>144</v>
      </c>
    </row>
    <row r="486" spans="1:16" ht="12" customHeight="1">
      <c r="G486" t="s">
        <v>419</v>
      </c>
      <c r="H486" s="461">
        <f>Tables!$D$31</f>
        <v>11</v>
      </c>
      <c r="I486">
        <f t="shared" si="66"/>
        <v>15</v>
      </c>
      <c r="J486" s="462">
        <f t="shared" si="67"/>
        <v>144</v>
      </c>
    </row>
    <row r="487" spans="1:16" ht="12" customHeight="1">
      <c r="G487" t="s">
        <v>404</v>
      </c>
      <c r="H487" s="461">
        <f>Tables!$D$32</f>
        <v>26.25</v>
      </c>
      <c r="I487">
        <f t="shared" si="66"/>
        <v>4</v>
      </c>
      <c r="J487" s="462">
        <f>J486</f>
        <v>144</v>
      </c>
    </row>
    <row r="488" spans="1:16" ht="12" customHeight="1">
      <c r="G488" t="s">
        <v>426</v>
      </c>
      <c r="H488" s="461">
        <f>H460</f>
        <v>8</v>
      </c>
      <c r="I488">
        <f>I487-INT(H487)-IF(J488&gt;J487,1)</f>
        <v>-22</v>
      </c>
      <c r="J488" s="462">
        <f>MOD(蔀月-(J487-235),蔀月)</f>
        <v>91</v>
      </c>
    </row>
    <row r="489" spans="1:16" s="26" customFormat="1" ht="12" customHeight="1" thickBot="1">
      <c r="A489" s="47"/>
      <c r="B489" s="69"/>
      <c r="C489" s="10"/>
      <c r="D489" s="10"/>
      <c r="E489" s="10"/>
      <c r="F489" s="10"/>
      <c r="G489" s="10"/>
      <c r="H489" s="10"/>
      <c r="I489" s="10"/>
      <c r="J489" s="10"/>
      <c r="K489" s="10"/>
      <c r="M489"/>
      <c r="N489"/>
      <c r="O489"/>
      <c r="P489"/>
    </row>
    <row r="490" spans="1:16" s="26" customFormat="1" ht="12" customHeight="1" thickTop="1">
      <c r="A490" s="47"/>
      <c r="B490" s="70"/>
      <c r="C490" s="71"/>
      <c r="D490" s="71"/>
      <c r="E490" s="71"/>
      <c r="F490" s="71"/>
      <c r="G490" s="71"/>
      <c r="H490" s="71"/>
      <c r="I490" s="71"/>
      <c r="J490" s="71"/>
      <c r="K490" s="71"/>
      <c r="L490"/>
      <c r="M490"/>
      <c r="N490"/>
      <c r="O490"/>
      <c r="P490"/>
    </row>
    <row r="491" spans="1:16" s="26" customFormat="1" ht="12" customHeight="1">
      <c r="A491" s="47"/>
      <c r="B491" s="76" t="s">
        <v>107</v>
      </c>
      <c r="C491" s="48"/>
      <c r="D491" s="48"/>
      <c r="E491" s="48"/>
      <c r="F491" s="48"/>
      <c r="G491" s="48"/>
      <c r="H491" s="48"/>
      <c r="I491" s="48"/>
      <c r="K491"/>
      <c r="L491"/>
      <c r="M491"/>
      <c r="N491"/>
      <c r="O491"/>
      <c r="P491"/>
    </row>
    <row r="492" spans="1:16" ht="12" customHeight="1"/>
    <row r="493" spans="1:16" ht="12" customHeight="1">
      <c r="B493" s="406" t="s">
        <v>624</v>
      </c>
      <c r="C493" s="406" t="s">
        <v>579</v>
      </c>
      <c r="D493" s="406" t="s">
        <v>621</v>
      </c>
      <c r="E493" s="466" t="s">
        <v>625</v>
      </c>
      <c r="F493" s="405" t="s">
        <v>626</v>
      </c>
    </row>
    <row r="494" spans="1:16" ht="12" customHeight="1">
      <c r="B494" s="422" t="str">
        <f>C239</f>
        <v>天正</v>
      </c>
      <c r="C494" s="465" t="str">
        <f>INDEX($E$347:$E$395,MATCH(B494,$B$347:$B$395,0))</f>
        <v>前年十一月</v>
      </c>
      <c r="D494" s="422" t="str">
        <f>INDEX(G459:G488,MATCH(E494,I459:I488,0))</f>
        <v>斗</v>
      </c>
      <c r="E494" s="420">
        <f>IF(I488&lt;0,IF(I487&lt;0,I486,I487),I488)</f>
        <v>4</v>
      </c>
      <c r="F494" s="421">
        <f>INDEX(J459:J488,MATCH(E494,I459:I488,0))</f>
        <v>144</v>
      </c>
    </row>
    <row r="495" spans="1:16" ht="12" customHeight="1">
      <c r="D495" s="321"/>
      <c r="G495" s="406" t="s">
        <v>628</v>
      </c>
    </row>
    <row r="496" spans="1:16" ht="12" customHeight="1">
      <c r="C496" s="467" t="s">
        <v>627</v>
      </c>
      <c r="D496" s="468" t="str">
        <f>D494</f>
        <v>斗</v>
      </c>
      <c r="E496" s="469">
        <f>E494+29+IF(F496&lt;F494,1)</f>
        <v>33</v>
      </c>
      <c r="F496" s="470">
        <f>MOD(F494+499,蔀月)</f>
        <v>643</v>
      </c>
      <c r="G496" s="471">
        <f>INDEX($H$459:$H$486,MATCH(D496,$G$459:$G$486,0))</f>
        <v>26.25</v>
      </c>
    </row>
    <row r="497" spans="2:7" ht="12" customHeight="1">
      <c r="D497" s="321" t="str">
        <f>INDEX($G$459:$G$488,MATCH(D496,$G$459:$G$488,0)+1)</f>
        <v>牛</v>
      </c>
      <c r="E497" s="321">
        <f>E496-INT(G496)</f>
        <v>7</v>
      </c>
      <c r="F497" s="462">
        <f>IF(AND(E496&gt;0,E497&lt;0),蔀月-MOD(F496-IF(D496="斗",235),蔀月),MOD(F496-IF(D496="斗",235),蔀月))</f>
        <v>408</v>
      </c>
      <c r="G497" s="472">
        <f t="shared" ref="G497:G500" si="68">INDEX($H$459:$H$486,MATCH(D497,$G$459:$G$486,0))</f>
        <v>8</v>
      </c>
    </row>
    <row r="498" spans="2:7" ht="12" customHeight="1">
      <c r="D498" s="321" t="str">
        <f t="shared" ref="D498:D500" si="69">INDEX($G$459:$G$488,MATCH(D497,$G$459:$G$488,0)+1)</f>
        <v>女</v>
      </c>
      <c r="E498" s="321">
        <f t="shared" ref="E498:E500" si="70">E497-INT(G497)</f>
        <v>-1</v>
      </c>
      <c r="F498" s="462">
        <f>IF(AND(E497&gt;0,E498&lt;0),蔀月-MOD(F497-IF(D497="斗",235),蔀月),MOD(F497-IF(D497="斗",235),蔀月))</f>
        <v>532</v>
      </c>
      <c r="G498" s="472">
        <f t="shared" si="68"/>
        <v>12</v>
      </c>
    </row>
    <row r="499" spans="2:7" ht="12" customHeight="1">
      <c r="D499" s="321" t="str">
        <f t="shared" si="69"/>
        <v>虛</v>
      </c>
      <c r="E499" s="321">
        <f t="shared" si="70"/>
        <v>-13</v>
      </c>
      <c r="F499" s="462">
        <f>IF(AND(E498&gt;0,E499&lt;0),蔀月-MOD(F498-IF(D498="斗",235),蔀月),MOD(F498-IF(D498="斗",235),蔀月))</f>
        <v>532</v>
      </c>
      <c r="G499" s="472">
        <f t="shared" si="68"/>
        <v>10</v>
      </c>
    </row>
    <row r="500" spans="2:7" ht="12" customHeight="1">
      <c r="D500" s="321" t="str">
        <f t="shared" si="69"/>
        <v>危</v>
      </c>
      <c r="E500" s="321">
        <f t="shared" si="70"/>
        <v>-23</v>
      </c>
      <c r="F500" s="462">
        <f>IF(AND(E499&gt;0,E500&lt;0),蔀月-MOD(F499-IF(D499="斗",235),蔀月),MOD(F499-IF(D499="斗",235),蔀月))</f>
        <v>532</v>
      </c>
      <c r="G500" s="473">
        <f t="shared" si="68"/>
        <v>17</v>
      </c>
    </row>
    <row r="501" spans="2:7" ht="12" customHeight="1"/>
    <row r="502" spans="2:7" ht="12" customHeight="1">
      <c r="B502" s="406" t="s">
        <v>624</v>
      </c>
      <c r="C502" s="406" t="s">
        <v>579</v>
      </c>
      <c r="D502" s="406" t="s">
        <v>621</v>
      </c>
      <c r="E502" s="466" t="s">
        <v>625</v>
      </c>
      <c r="F502" s="405" t="s">
        <v>626</v>
      </c>
    </row>
    <row r="503" spans="2:7" ht="12" customHeight="1">
      <c r="B503" s="422" t="str">
        <f>C240</f>
        <v>二月</v>
      </c>
      <c r="C503" s="465" t="str">
        <f>INDEX($E$347:$E$395,MATCH(B503,$B$347:$B$395,0))</f>
        <v>前年十二月</v>
      </c>
      <c r="D503" s="422" t="str">
        <f>INDEX(D496:D500,MATCH(E503,E496:E500,0))</f>
        <v>牛</v>
      </c>
      <c r="E503" s="422">
        <f>IF(E500&lt;0,IF(E499&lt;0,IF(E498&lt;0,IF(E497&lt;0,E496,E497),E498),E499),E500)</f>
        <v>7</v>
      </c>
      <c r="F503" s="474">
        <f>INDEX(F496:F500,MATCH(E503,E496:E500,0))</f>
        <v>408</v>
      </c>
    </row>
    <row r="504" spans="2:7" ht="12" customHeight="1">
      <c r="G504" s="406" t="s">
        <v>628</v>
      </c>
    </row>
    <row r="505" spans="2:7" ht="12" customHeight="1">
      <c r="C505" s="467" t="s">
        <v>627</v>
      </c>
      <c r="D505" s="468" t="str">
        <f>D503</f>
        <v>牛</v>
      </c>
      <c r="E505" s="469">
        <f>E503+29+IF(F505&lt;F503,1)</f>
        <v>36</v>
      </c>
      <c r="F505" s="470">
        <f>MOD(F503+499,蔀月)</f>
        <v>907</v>
      </c>
      <c r="G505" s="471">
        <f>INDEX($H$459:$H$486,MATCH(D505,$G$459:$G$486,0))</f>
        <v>8</v>
      </c>
    </row>
    <row r="506" spans="2:7" ht="12" customHeight="1">
      <c r="D506" s="321" t="str">
        <f>INDEX($G$459:$G$488,MATCH(D505,$G$459:$G$488,0)+1)</f>
        <v>女</v>
      </c>
      <c r="E506" s="321">
        <f>E505-INT(G505)</f>
        <v>28</v>
      </c>
      <c r="F506" s="462">
        <f>IF(AND(E505&gt;0,E506&lt;0),蔀月-MOD(F505-IF(D505="斗",235),蔀月),MOD(F505-IF(D505="斗",235),蔀月))</f>
        <v>907</v>
      </c>
      <c r="G506" s="472">
        <f t="shared" ref="G506:G508" si="71">INDEX($H$459:$H$486,MATCH(D506,$G$459:$G$486,0))</f>
        <v>12</v>
      </c>
    </row>
    <row r="507" spans="2:7" ht="12" customHeight="1">
      <c r="D507" s="321" t="str">
        <f>INDEX($G$459:$G$488,MATCH(D506,$G$459:$G$488,0)+1)</f>
        <v>虛</v>
      </c>
      <c r="E507" s="321">
        <f t="shared" ref="E507:E509" si="72">E506-INT(G506)</f>
        <v>16</v>
      </c>
      <c r="F507" s="462">
        <f>IF(AND(E506&gt;0,E507&lt;0),蔀月-MOD(F506-IF(D506="斗",235),蔀月),MOD(F506-IF(D506="斗",235),蔀月))</f>
        <v>907</v>
      </c>
      <c r="G507" s="472">
        <f t="shared" si="71"/>
        <v>10</v>
      </c>
    </row>
    <row r="508" spans="2:7" ht="12" customHeight="1">
      <c r="D508" s="321" t="str">
        <f>INDEX($G$459:$G$488,MATCH(D507,$G$459:$G$488,0)+1)</f>
        <v>危</v>
      </c>
      <c r="E508" s="321">
        <f t="shared" si="72"/>
        <v>6</v>
      </c>
      <c r="F508" s="462">
        <f>IF(AND(E507&gt;0,E508&lt;0),蔀月-MOD(F507-IF(D507="斗",235),蔀月),MOD(F507-IF(D507="斗",235),蔀月))</f>
        <v>907</v>
      </c>
      <c r="G508" s="472">
        <f t="shared" si="71"/>
        <v>17</v>
      </c>
    </row>
    <row r="509" spans="2:7" ht="12" customHeight="1">
      <c r="D509" s="321" t="str">
        <f>INDEX($G$459:$G$488,MATCH(D508,$G$459:$G$488,0)+1)</f>
        <v>室</v>
      </c>
      <c r="E509" s="321">
        <f t="shared" si="72"/>
        <v>-11</v>
      </c>
      <c r="F509" s="462">
        <f>IF(AND(E508&gt;0,E509&lt;0),蔀月-MOD(F508-IF(D508="斗",235),蔀月),MOD(F508-IF(D508="斗",235),蔀月))</f>
        <v>33</v>
      </c>
      <c r="G509" s="473">
        <f>INDEX($H$459:$H$486,MATCH(D509,$G$459:$G$486,0))</f>
        <v>16</v>
      </c>
    </row>
    <row r="510" spans="2:7" ht="12" customHeight="1">
      <c r="F510" s="319"/>
    </row>
    <row r="511" spans="2:7" ht="12" customHeight="1">
      <c r="B511" s="406" t="s">
        <v>624</v>
      </c>
      <c r="C511" s="406" t="s">
        <v>579</v>
      </c>
      <c r="D511" s="406" t="s">
        <v>621</v>
      </c>
      <c r="E511" s="466" t="s">
        <v>625</v>
      </c>
      <c r="F511" s="405" t="s">
        <v>626</v>
      </c>
    </row>
    <row r="512" spans="2:7" ht="12" customHeight="1">
      <c r="B512" s="422" t="str">
        <f>C241</f>
        <v>三月</v>
      </c>
      <c r="C512" s="465" t="str">
        <f>INDEX($E$347:$E$395,MATCH(B512,$B$347:$B$395,0))</f>
        <v>正月</v>
      </c>
      <c r="D512" s="422" t="str">
        <f>INDEX(D505:D509,MATCH(E512,E505:E509,0))</f>
        <v>危</v>
      </c>
      <c r="E512" s="422">
        <f>IF(E509&lt;0,IF(E508&lt;0,IF(E507&lt;0,IF(E506&lt;0,E505,E506),E507),E508),E509)</f>
        <v>6</v>
      </c>
      <c r="F512" s="474">
        <f>INDEX(F505:F509,MATCH(E512,E505:E509,0))</f>
        <v>907</v>
      </c>
    </row>
    <row r="513" spans="2:7" ht="12" customHeight="1">
      <c r="G513" s="406" t="s">
        <v>628</v>
      </c>
    </row>
    <row r="514" spans="2:7" ht="12" customHeight="1">
      <c r="C514" s="467" t="s">
        <v>627</v>
      </c>
      <c r="D514" s="468" t="str">
        <f>D512</f>
        <v>危</v>
      </c>
      <c r="E514" s="469">
        <f>E512+29+IF(F514&lt;F512,1)</f>
        <v>36</v>
      </c>
      <c r="F514" s="470">
        <f>MOD(F512+499,蔀月)</f>
        <v>466</v>
      </c>
      <c r="G514" s="471">
        <f>INDEX($H$459:$H$486,MATCH(D514,$G$459:$G$486,0))</f>
        <v>17</v>
      </c>
    </row>
    <row r="515" spans="2:7" ht="12" customHeight="1">
      <c r="D515" s="321" t="str">
        <f>INDEX($G$459:$G$488,MATCH(D514,$G$459:$G$488,0)+1)</f>
        <v>室</v>
      </c>
      <c r="E515" s="321">
        <f>E514-INT(G514)</f>
        <v>19</v>
      </c>
      <c r="F515" s="462">
        <f>IF(AND(E514&gt;0,E515&lt;0),蔀月-MOD(F514-IF(D514="斗",235),蔀月),MOD(F514-IF(D514="斗",235),蔀月))</f>
        <v>466</v>
      </c>
      <c r="G515" s="472">
        <f t="shared" ref="G515:G517" si="73">INDEX($H$459:$H$486,MATCH(D515,$G$459:$G$486,0))</f>
        <v>16</v>
      </c>
    </row>
    <row r="516" spans="2:7" ht="12" customHeight="1">
      <c r="D516" s="321" t="str">
        <f>INDEX($G$459:$G$488,MATCH(D515,$G$459:$G$488,0)+1)</f>
        <v>壁</v>
      </c>
      <c r="E516" s="321">
        <f t="shared" ref="E516:E518" si="74">E515-INT(G515)</f>
        <v>3</v>
      </c>
      <c r="F516" s="462">
        <f>IF(AND(E515&gt;0,E516&lt;0),蔀月-MOD(F515-IF(D515="斗",235),蔀月),MOD(F515-IF(D515="斗",235),蔀月))</f>
        <v>466</v>
      </c>
      <c r="G516" s="472">
        <f t="shared" si="73"/>
        <v>9</v>
      </c>
    </row>
    <row r="517" spans="2:7" ht="12" customHeight="1">
      <c r="D517" s="321" t="str">
        <f>INDEX($G$459:$G$488,MATCH(D516,$G$459:$G$488,0)+1)</f>
        <v>奎</v>
      </c>
      <c r="E517" s="321">
        <f t="shared" si="74"/>
        <v>-6</v>
      </c>
      <c r="F517" s="462">
        <f>IF(AND(E516&gt;0,E517&lt;0),蔀月-MOD(F516-IF(D516="斗",235),蔀月),MOD(F516-IF(D516="斗",235),蔀月))</f>
        <v>474</v>
      </c>
      <c r="G517" s="472">
        <f t="shared" si="73"/>
        <v>16</v>
      </c>
    </row>
    <row r="518" spans="2:7" ht="12" customHeight="1">
      <c r="D518" s="321" t="str">
        <f>INDEX($G$459:$G$488,MATCH(D517,$G$459:$G$488,0)+1)</f>
        <v>婁</v>
      </c>
      <c r="E518" s="321">
        <f t="shared" si="74"/>
        <v>-22</v>
      </c>
      <c r="F518" s="462">
        <f>IF(AND(E517&gt;0,E518&lt;0),蔀月-MOD(F517-IF(D517="斗",235),蔀月),MOD(F517-IF(D517="斗",235),蔀月))</f>
        <v>474</v>
      </c>
      <c r="G518" s="473">
        <f>INDEX($H$459:$H$486,MATCH(D518,$G$459:$G$486,0))</f>
        <v>12</v>
      </c>
    </row>
    <row r="519" spans="2:7" ht="12" customHeight="1">
      <c r="F519" s="319"/>
    </row>
    <row r="520" spans="2:7" ht="12" customHeight="1">
      <c r="B520" s="406" t="s">
        <v>624</v>
      </c>
      <c r="C520" s="406" t="s">
        <v>579</v>
      </c>
      <c r="D520" s="406" t="s">
        <v>621</v>
      </c>
      <c r="E520" s="466" t="s">
        <v>625</v>
      </c>
      <c r="F520" s="405" t="s">
        <v>626</v>
      </c>
    </row>
    <row r="521" spans="2:7" ht="12" customHeight="1">
      <c r="B521" s="422" t="str">
        <f>C242</f>
        <v>四月</v>
      </c>
      <c r="C521" s="465" t="str">
        <f>INDEX($E$347:$E$395,MATCH(B521,$B$347:$B$395,0))</f>
        <v>二月</v>
      </c>
      <c r="D521" s="422" t="str">
        <f>INDEX(D514:D518,MATCH(E521,E514:E518,0))</f>
        <v>壁</v>
      </c>
      <c r="E521" s="422">
        <f>IF(E518&lt;0,IF(E517&lt;0,IF(E516&lt;0,IF(E515&lt;0,E514,E515),E516),E517),E518)</f>
        <v>3</v>
      </c>
      <c r="F521" s="474">
        <f>INDEX(F514:F518,MATCH(E521,E514:E518,0))</f>
        <v>466</v>
      </c>
    </row>
    <row r="522" spans="2:7" ht="12" customHeight="1">
      <c r="G522" s="406" t="s">
        <v>628</v>
      </c>
    </row>
    <row r="523" spans="2:7" ht="12" customHeight="1">
      <c r="C523" s="467" t="s">
        <v>627</v>
      </c>
      <c r="D523" s="468" t="str">
        <f>D521</f>
        <v>壁</v>
      </c>
      <c r="E523" s="469">
        <f>E521+29+IF(F523&lt;F521,1)</f>
        <v>33</v>
      </c>
      <c r="F523" s="470">
        <f>MOD(F521+499,蔀月)</f>
        <v>25</v>
      </c>
      <c r="G523" s="471">
        <f>INDEX($H$459:$H$486,MATCH(D523,$G$459:$G$486,0))</f>
        <v>9</v>
      </c>
    </row>
    <row r="524" spans="2:7" ht="12" customHeight="1">
      <c r="D524" s="321" t="str">
        <f>INDEX($G$459:$G$488,MATCH(D523,$G$459:$G$488,0)+1)</f>
        <v>奎</v>
      </c>
      <c r="E524" s="321">
        <f>E523-INT(G523)</f>
        <v>24</v>
      </c>
      <c r="F524" s="462">
        <f>IF(AND(E523&gt;0,E524&lt;0),蔀月-MOD(F523-IF(D523="斗",235),蔀月),MOD(F523-IF(D523="斗",235),蔀月))</f>
        <v>25</v>
      </c>
      <c r="G524" s="472">
        <f t="shared" ref="G524:G526" si="75">INDEX($H$459:$H$486,MATCH(D524,$G$459:$G$486,0))</f>
        <v>16</v>
      </c>
    </row>
    <row r="525" spans="2:7" ht="12" customHeight="1">
      <c r="D525" s="321" t="str">
        <f>INDEX($G$459:$G$488,MATCH(D524,$G$459:$G$488,0)+1)</f>
        <v>婁</v>
      </c>
      <c r="E525" s="321">
        <f t="shared" ref="E525:E527" si="76">E524-INT(G524)</f>
        <v>8</v>
      </c>
      <c r="F525" s="462">
        <f>IF(AND(E524&gt;0,E525&lt;0),蔀月-MOD(F524-IF(D524="斗",235),蔀月),MOD(F524-IF(D524="斗",235),蔀月))</f>
        <v>25</v>
      </c>
      <c r="G525" s="472">
        <f t="shared" si="75"/>
        <v>12</v>
      </c>
    </row>
    <row r="526" spans="2:7" ht="12" customHeight="1">
      <c r="D526" s="321" t="str">
        <f>INDEX($G$459:$G$488,MATCH(D525,$G$459:$G$488,0)+1)</f>
        <v>胃</v>
      </c>
      <c r="E526" s="321">
        <f t="shared" si="76"/>
        <v>-4</v>
      </c>
      <c r="F526" s="462">
        <f>IF(AND(E525&gt;0,E526&lt;0),蔀月-MOD(F525-IF(D525="斗",235),蔀月),MOD(F525-IF(D525="斗",235),蔀月))</f>
        <v>915</v>
      </c>
      <c r="G526" s="472">
        <f t="shared" si="75"/>
        <v>14</v>
      </c>
    </row>
    <row r="527" spans="2:7" ht="12" customHeight="1">
      <c r="D527" s="321" t="str">
        <f>INDEX($G$459:$G$488,MATCH(D526,$G$459:$G$488,0)+1)</f>
        <v>昴</v>
      </c>
      <c r="E527" s="321">
        <f t="shared" si="76"/>
        <v>-18</v>
      </c>
      <c r="F527" s="462">
        <f>IF(AND(E526&gt;0,E527&lt;0),蔀月-MOD(F526-IF(D526="斗",235),蔀月),MOD(F526-IF(D526="斗",235),蔀月))</f>
        <v>915</v>
      </c>
      <c r="G527" s="473">
        <f>INDEX($H$459:$H$486,MATCH(D527,$G$459:$G$486,0))</f>
        <v>11</v>
      </c>
    </row>
    <row r="528" spans="2:7" ht="12" customHeight="1">
      <c r="F528" s="319"/>
    </row>
    <row r="529" spans="2:7" ht="12" customHeight="1">
      <c r="B529" s="406" t="s">
        <v>624</v>
      </c>
      <c r="C529" s="406" t="s">
        <v>579</v>
      </c>
      <c r="D529" s="406" t="s">
        <v>621</v>
      </c>
      <c r="E529" s="466" t="s">
        <v>625</v>
      </c>
      <c r="F529" s="405" t="s">
        <v>626</v>
      </c>
    </row>
    <row r="530" spans="2:7" ht="12" customHeight="1">
      <c r="B530" s="422" t="str">
        <f>C243</f>
        <v>五月</v>
      </c>
      <c r="C530" s="465" t="str">
        <f>INDEX($E$347:$E$395,MATCH(B530,$B$347:$B$395,0))</f>
        <v>三月</v>
      </c>
      <c r="D530" s="422" t="str">
        <f>INDEX(D523:D527,MATCH(E530,E523:E527,0))</f>
        <v>婁</v>
      </c>
      <c r="E530" s="422">
        <f>IF(E527&lt;0,IF(E526&lt;0,IF(E525&lt;0,IF(E524&lt;0,E523,E524),E525),E526),E527)</f>
        <v>8</v>
      </c>
      <c r="F530" s="474">
        <f>INDEX(F523:F527,MATCH(E530,E523:E527,0))</f>
        <v>25</v>
      </c>
    </row>
    <row r="531" spans="2:7" ht="12" customHeight="1">
      <c r="G531" s="406" t="s">
        <v>628</v>
      </c>
    </row>
    <row r="532" spans="2:7" ht="12" customHeight="1">
      <c r="C532" s="467" t="s">
        <v>627</v>
      </c>
      <c r="D532" s="468" t="str">
        <f>D530</f>
        <v>婁</v>
      </c>
      <c r="E532" s="469">
        <f>E530+29+IF(F532&lt;F530,1)</f>
        <v>37</v>
      </c>
      <c r="F532" s="470">
        <f>MOD(F530+499,蔀月)</f>
        <v>524</v>
      </c>
      <c r="G532" s="471">
        <f>INDEX($H$459:$H$486,MATCH(D532,$G$459:$G$486,0))</f>
        <v>12</v>
      </c>
    </row>
    <row r="533" spans="2:7" ht="12" customHeight="1">
      <c r="D533" s="321" t="str">
        <f>INDEX($G$459:$G$488,MATCH(D532,$G$459:$G$488,0)+1)</f>
        <v>胃</v>
      </c>
      <c r="E533" s="321">
        <f>E532-INT(G532)</f>
        <v>25</v>
      </c>
      <c r="F533" s="462">
        <f>IF(AND(E532&gt;0,E533&lt;0),蔀月-MOD(F532-IF(D532="斗",235),蔀月),MOD(F532-IF(D532="斗",235),蔀月))</f>
        <v>524</v>
      </c>
      <c r="G533" s="472">
        <f t="shared" ref="G533:G535" si="77">INDEX($H$459:$H$486,MATCH(D533,$G$459:$G$486,0))</f>
        <v>14</v>
      </c>
    </row>
    <row r="534" spans="2:7" ht="12" customHeight="1">
      <c r="D534" s="321" t="str">
        <f>INDEX($G$459:$G$488,MATCH(D533,$G$459:$G$488,0)+1)</f>
        <v>昴</v>
      </c>
      <c r="E534" s="321">
        <f t="shared" ref="E534:E536" si="78">E533-INT(G533)</f>
        <v>11</v>
      </c>
      <c r="F534" s="462">
        <f>IF(AND(E533&gt;0,E534&lt;0),蔀月-MOD(F533-IF(D533="斗",235),蔀月),MOD(F533-IF(D533="斗",235),蔀月))</f>
        <v>524</v>
      </c>
      <c r="G534" s="472">
        <f t="shared" si="77"/>
        <v>11</v>
      </c>
    </row>
    <row r="535" spans="2:7" ht="12" customHeight="1">
      <c r="D535" s="321" t="str">
        <f>INDEX($G$459:$G$488,MATCH(D534,$G$459:$G$488,0)+1)</f>
        <v>畢</v>
      </c>
      <c r="E535" s="321">
        <f t="shared" si="78"/>
        <v>0</v>
      </c>
      <c r="F535" s="462">
        <f>IF(AND(E534&gt;0,E535&lt;0),蔀月-MOD(F534-IF(D534="斗",235),蔀月),MOD(F534-IF(D534="斗",235),蔀月))</f>
        <v>524</v>
      </c>
      <c r="G535" s="472">
        <f t="shared" si="77"/>
        <v>16</v>
      </c>
    </row>
    <row r="536" spans="2:7" ht="12" customHeight="1">
      <c r="D536" s="321" t="str">
        <f>INDEX($G$459:$G$488,MATCH(D535,$G$459:$G$488,0)+1)</f>
        <v>觜</v>
      </c>
      <c r="E536" s="321">
        <f t="shared" si="78"/>
        <v>-16</v>
      </c>
      <c r="F536" s="462">
        <f>IF(AND(E535&gt;0,E536&lt;0),蔀月-MOD(F535-IF(D535="斗",235),蔀月),MOD(F535-IF(D535="斗",235),蔀月))</f>
        <v>524</v>
      </c>
      <c r="G536" s="473">
        <f>INDEX($H$459:$H$486,MATCH(D536,$G$459:$G$486,0))</f>
        <v>2</v>
      </c>
    </row>
    <row r="537" spans="2:7" ht="12" customHeight="1">
      <c r="F537" s="319"/>
    </row>
    <row r="538" spans="2:7" ht="12" customHeight="1">
      <c r="B538" s="406" t="s">
        <v>624</v>
      </c>
      <c r="C538" s="406" t="s">
        <v>579</v>
      </c>
      <c r="D538" s="406" t="s">
        <v>621</v>
      </c>
      <c r="E538" s="466" t="s">
        <v>625</v>
      </c>
      <c r="F538" s="405" t="s">
        <v>626</v>
      </c>
    </row>
    <row r="539" spans="2:7" ht="12" customHeight="1">
      <c r="B539" s="422" t="str">
        <f>C244</f>
        <v>六月</v>
      </c>
      <c r="C539" s="465" t="str">
        <f>INDEX($E$347:$E$395,MATCH(B539,$B$347:$B$395,0))</f>
        <v>四月</v>
      </c>
      <c r="D539" s="422" t="str">
        <f>INDEX(D532:D536,MATCH(E539,E532:E536,0))</f>
        <v>畢</v>
      </c>
      <c r="E539" s="422">
        <f>IF(E536&lt;0,IF(E535&lt;0,IF(E534&lt;0,IF(E533&lt;0,E532,E533),E534),E535),E536)</f>
        <v>0</v>
      </c>
      <c r="F539" s="474">
        <f>INDEX(F532:F536,MATCH(E539,E532:E536,0))</f>
        <v>524</v>
      </c>
    </row>
    <row r="540" spans="2:7" ht="12" customHeight="1">
      <c r="G540" s="406" t="s">
        <v>628</v>
      </c>
    </row>
    <row r="541" spans="2:7" ht="12" customHeight="1">
      <c r="C541" s="467" t="s">
        <v>627</v>
      </c>
      <c r="D541" s="468" t="str">
        <f>D539</f>
        <v>畢</v>
      </c>
      <c r="E541" s="469">
        <f>E539+29+IF(F541&lt;F539,1)</f>
        <v>30</v>
      </c>
      <c r="F541" s="470">
        <f>MOD(F539+499,蔀月)</f>
        <v>83</v>
      </c>
      <c r="G541" s="471">
        <f>INDEX($H$459:$H$486,MATCH(D541,$G$459:$G$486,0))</f>
        <v>16</v>
      </c>
    </row>
    <row r="542" spans="2:7" ht="12" customHeight="1">
      <c r="D542" s="321" t="str">
        <f>INDEX($G$459:$G$488,MATCH(D541,$G$459:$G$488,0)+1)</f>
        <v>觜</v>
      </c>
      <c r="E542" s="321">
        <f>E541-INT(G541)</f>
        <v>14</v>
      </c>
      <c r="F542" s="462">
        <f>IF(AND(E541&gt;0,E542&lt;0),蔀月-MOD(F541-IF(D541="斗",235),蔀月),MOD(F541-IF(D541="斗",235),蔀月))</f>
        <v>83</v>
      </c>
      <c r="G542" s="472">
        <f t="shared" ref="G542:G544" si="79">INDEX($H$459:$H$486,MATCH(D542,$G$459:$G$486,0))</f>
        <v>2</v>
      </c>
    </row>
    <row r="543" spans="2:7" ht="12" customHeight="1">
      <c r="D543" s="321" t="str">
        <f>INDEX($G$459:$G$488,MATCH(D542,$G$459:$G$488,0)+1)</f>
        <v>參</v>
      </c>
      <c r="E543" s="321">
        <f t="shared" ref="E543:E545" si="80">E542-INT(G542)</f>
        <v>12</v>
      </c>
      <c r="F543" s="462">
        <f>IF(AND(E542&gt;0,E543&lt;0),蔀月-MOD(F542-IF(D542="斗",235),蔀月),MOD(F542-IF(D542="斗",235),蔀月))</f>
        <v>83</v>
      </c>
      <c r="G543" s="472">
        <f t="shared" si="79"/>
        <v>9</v>
      </c>
    </row>
    <row r="544" spans="2:7" ht="12" customHeight="1">
      <c r="D544" s="321" t="str">
        <f>INDEX($G$459:$G$488,MATCH(D543,$G$459:$G$488,0)+1)</f>
        <v>井</v>
      </c>
      <c r="E544" s="321">
        <f t="shared" si="80"/>
        <v>3</v>
      </c>
      <c r="F544" s="462">
        <f>IF(AND(E543&gt;0,E544&lt;0),蔀月-MOD(F543-IF(D543="斗",235),蔀月),MOD(F543-IF(D543="斗",235),蔀月))</f>
        <v>83</v>
      </c>
      <c r="G544" s="472">
        <f t="shared" si="79"/>
        <v>33</v>
      </c>
    </row>
    <row r="545" spans="2:7" ht="12" customHeight="1">
      <c r="D545" s="321" t="str">
        <f>INDEX($G$459:$G$488,MATCH(D544,$G$459:$G$488,0)+1)</f>
        <v>鬼</v>
      </c>
      <c r="E545" s="321">
        <f t="shared" si="80"/>
        <v>-30</v>
      </c>
      <c r="F545" s="462">
        <f>IF(AND(E544&gt;0,E545&lt;0),蔀月-MOD(F544-IF(D544="斗",235),蔀月),MOD(F544-IF(D544="斗",235),蔀月))</f>
        <v>857</v>
      </c>
      <c r="G545" s="473">
        <f>INDEX($H$459:$H$486,MATCH(D545,$G$459:$G$486,0))</f>
        <v>4</v>
      </c>
    </row>
    <row r="546" spans="2:7" ht="12" customHeight="1">
      <c r="F546" s="319"/>
    </row>
    <row r="547" spans="2:7" ht="12" customHeight="1">
      <c r="B547" s="406" t="s">
        <v>624</v>
      </c>
      <c r="C547" s="406" t="s">
        <v>579</v>
      </c>
      <c r="D547" s="406" t="s">
        <v>621</v>
      </c>
      <c r="E547" s="466" t="s">
        <v>625</v>
      </c>
      <c r="F547" s="405" t="s">
        <v>626</v>
      </c>
    </row>
    <row r="548" spans="2:7" ht="12" customHeight="1">
      <c r="B548" s="422" t="str">
        <f>C245</f>
        <v>七月</v>
      </c>
      <c r="C548" s="465" t="str">
        <f>INDEX($E$347:$E$395,MATCH(B548,$B$347:$B$395,0))</f>
        <v>五月</v>
      </c>
      <c r="D548" s="422" t="str">
        <f>INDEX(D541:D545,MATCH(E548,E541:E545,0))</f>
        <v>井</v>
      </c>
      <c r="E548" s="422">
        <f>IF(E545&lt;0,IF(E544&lt;0,IF(E543&lt;0,IF(E542&lt;0,E541,E542),E543),E544),E545)</f>
        <v>3</v>
      </c>
      <c r="F548" s="474">
        <f>INDEX(F541:F545,MATCH(E548,E541:E545,0))</f>
        <v>83</v>
      </c>
    </row>
    <row r="549" spans="2:7" ht="12" customHeight="1">
      <c r="G549" s="406" t="s">
        <v>628</v>
      </c>
    </row>
    <row r="550" spans="2:7" ht="12" customHeight="1">
      <c r="C550" s="467" t="s">
        <v>627</v>
      </c>
      <c r="D550" s="468" t="str">
        <f>D548</f>
        <v>井</v>
      </c>
      <c r="E550" s="469">
        <f>E548+29+IF(F550&lt;F548,1)</f>
        <v>32</v>
      </c>
      <c r="F550" s="470">
        <f>MOD(F548+499,蔀月)</f>
        <v>582</v>
      </c>
      <c r="G550" s="471">
        <f>INDEX($H$459:$H$486,MATCH(D550,$G$459:$G$486,0))</f>
        <v>33</v>
      </c>
    </row>
    <row r="551" spans="2:7" ht="12" customHeight="1">
      <c r="D551" s="321" t="str">
        <f>INDEX($G$459:$G$488,MATCH(D550,$G$459:$G$488,0)+1)</f>
        <v>鬼</v>
      </c>
      <c r="E551" s="321">
        <f>E550-INT(G550)</f>
        <v>-1</v>
      </c>
      <c r="F551" s="462">
        <f>IF(AND(E550&gt;0,E551&lt;0),蔀月-MOD(F550-IF(D550="斗",235),蔀月),MOD(F550-IF(D550="斗",235),蔀月))</f>
        <v>358</v>
      </c>
      <c r="G551" s="472">
        <f t="shared" ref="G551:G553" si="81">INDEX($H$459:$H$486,MATCH(D551,$G$459:$G$486,0))</f>
        <v>4</v>
      </c>
    </row>
    <row r="552" spans="2:7" ht="12" customHeight="1">
      <c r="D552" s="321" t="str">
        <f>INDEX($G$459:$G$488,MATCH(D551,$G$459:$G$488,0)+1)</f>
        <v>柳</v>
      </c>
      <c r="E552" s="321">
        <f t="shared" ref="E552:E554" si="82">E551-INT(G551)</f>
        <v>-5</v>
      </c>
      <c r="F552" s="462">
        <f>IF(AND(E551&gt;0,E552&lt;0),蔀月-MOD(F551-IF(D551="斗",235),蔀月),MOD(F551-IF(D551="斗",235),蔀月))</f>
        <v>358</v>
      </c>
      <c r="G552" s="472">
        <f t="shared" si="81"/>
        <v>15</v>
      </c>
    </row>
    <row r="553" spans="2:7" ht="12" customHeight="1">
      <c r="D553" s="321" t="str">
        <f>INDEX($G$459:$G$488,MATCH(D552,$G$459:$G$488,0)+1)</f>
        <v>星</v>
      </c>
      <c r="E553" s="321">
        <f t="shared" si="82"/>
        <v>-20</v>
      </c>
      <c r="F553" s="462">
        <f>IF(AND(E552&gt;0,E553&lt;0),蔀月-MOD(F552-IF(D552="斗",235),蔀月),MOD(F552-IF(D552="斗",235),蔀月))</f>
        <v>358</v>
      </c>
      <c r="G553" s="472">
        <f t="shared" si="81"/>
        <v>7</v>
      </c>
    </row>
    <row r="554" spans="2:7" ht="12" customHeight="1">
      <c r="D554" s="321" t="str">
        <f>INDEX($G$459:$G$488,MATCH(D553,$G$459:$G$488,0)+1)</f>
        <v>張</v>
      </c>
      <c r="E554" s="321">
        <f t="shared" si="82"/>
        <v>-27</v>
      </c>
      <c r="F554" s="462">
        <f>IF(AND(E553&gt;0,E554&lt;0),蔀月-MOD(F553-IF(D553="斗",235),蔀月),MOD(F553-IF(D553="斗",235),蔀月))</f>
        <v>358</v>
      </c>
      <c r="G554" s="473">
        <f>INDEX($H$459:$H$486,MATCH(D554,$G$459:$G$486,0))</f>
        <v>18</v>
      </c>
    </row>
    <row r="555" spans="2:7" ht="12" customHeight="1">
      <c r="F555" s="319"/>
    </row>
    <row r="556" spans="2:7" ht="12" customHeight="1">
      <c r="B556" s="406" t="s">
        <v>624</v>
      </c>
      <c r="C556" s="406" t="s">
        <v>579</v>
      </c>
      <c r="D556" s="406" t="s">
        <v>621</v>
      </c>
      <c r="E556" s="466" t="s">
        <v>625</v>
      </c>
      <c r="F556" s="405" t="s">
        <v>626</v>
      </c>
    </row>
    <row r="557" spans="2:7" ht="12" customHeight="1">
      <c r="B557" s="422" t="str">
        <f>C246</f>
        <v>八月</v>
      </c>
      <c r="C557" s="465" t="str">
        <f>INDEX($E$347:$E$395,MATCH(B557,$B$347:$B$395,0))</f>
        <v>六月</v>
      </c>
      <c r="D557" s="422" t="str">
        <f>INDEX(D550:D554,MATCH(E557,E550:E554,0))</f>
        <v>井</v>
      </c>
      <c r="E557" s="422">
        <f>IF(E554&lt;0,IF(E553&lt;0,IF(E552&lt;0,IF(E551&lt;0,E550,E551),E552),E553),E554)</f>
        <v>32</v>
      </c>
      <c r="F557" s="474">
        <f>INDEX(F550:F554,MATCH(E557,E550:E554,0))</f>
        <v>582</v>
      </c>
    </row>
    <row r="558" spans="2:7" ht="12" customHeight="1">
      <c r="G558" s="406" t="s">
        <v>628</v>
      </c>
    </row>
    <row r="559" spans="2:7" ht="12" customHeight="1">
      <c r="C559" s="467" t="s">
        <v>627</v>
      </c>
      <c r="D559" s="468" t="str">
        <f>D557</f>
        <v>井</v>
      </c>
      <c r="E559" s="469">
        <f>E557+29+IF(F559&lt;F557,1)</f>
        <v>62</v>
      </c>
      <c r="F559" s="470">
        <f>MOD(F557+499,蔀月)</f>
        <v>141</v>
      </c>
      <c r="G559" s="471">
        <f>INDEX($H$459:$H$486,MATCH(D559,$G$459:$G$486,0))</f>
        <v>33</v>
      </c>
    </row>
    <row r="560" spans="2:7" ht="12" customHeight="1">
      <c r="D560" s="321" t="str">
        <f>INDEX($G$459:$G$488,MATCH(D559,$G$459:$G$488,0)+1)</f>
        <v>鬼</v>
      </c>
      <c r="E560" s="321">
        <f>E559-INT(G559)</f>
        <v>29</v>
      </c>
      <c r="F560" s="462">
        <f>IF(AND(E559&gt;0,E560&lt;0),蔀月-MOD(F559-IF(D559="斗",235),蔀月),MOD(F559-IF(D559="斗",235),蔀月))</f>
        <v>141</v>
      </c>
      <c r="G560" s="472">
        <f t="shared" ref="G560:G562" si="83">INDEX($H$459:$H$486,MATCH(D560,$G$459:$G$486,0))</f>
        <v>4</v>
      </c>
    </row>
    <row r="561" spans="2:7" ht="12" customHeight="1">
      <c r="D561" s="321" t="str">
        <f>INDEX($G$459:$G$488,MATCH(D560,$G$459:$G$488,0)+1)</f>
        <v>柳</v>
      </c>
      <c r="E561" s="321">
        <f t="shared" ref="E561:E563" si="84">E560-INT(G560)</f>
        <v>25</v>
      </c>
      <c r="F561" s="462">
        <f>IF(AND(E560&gt;0,E561&lt;0),蔀月-MOD(F560-IF(D560="斗",235),蔀月),MOD(F560-IF(D560="斗",235),蔀月))</f>
        <v>141</v>
      </c>
      <c r="G561" s="472">
        <f t="shared" si="83"/>
        <v>15</v>
      </c>
    </row>
    <row r="562" spans="2:7" ht="12" customHeight="1">
      <c r="D562" s="321" t="str">
        <f>INDEX($G$459:$G$488,MATCH(D561,$G$459:$G$488,0)+1)</f>
        <v>星</v>
      </c>
      <c r="E562" s="321">
        <f t="shared" si="84"/>
        <v>10</v>
      </c>
      <c r="F562" s="462">
        <f>IF(AND(E561&gt;0,E562&lt;0),蔀月-MOD(F561-IF(D561="斗",235),蔀月),MOD(F561-IF(D561="斗",235),蔀月))</f>
        <v>141</v>
      </c>
      <c r="G562" s="472">
        <f t="shared" si="83"/>
        <v>7</v>
      </c>
    </row>
    <row r="563" spans="2:7" ht="12" customHeight="1">
      <c r="D563" s="321" t="str">
        <f>INDEX($G$459:$G$488,MATCH(D562,$G$459:$G$488,0)+1)</f>
        <v>張</v>
      </c>
      <c r="E563" s="321">
        <f t="shared" si="84"/>
        <v>3</v>
      </c>
      <c r="F563" s="462">
        <f>IF(AND(E562&gt;0,E563&lt;0),蔀月-MOD(F562-IF(D562="斗",235),蔀月),MOD(F562-IF(D562="斗",235),蔀月))</f>
        <v>141</v>
      </c>
      <c r="G563" s="473">
        <f>INDEX($H$459:$H$486,MATCH(D563,$G$459:$G$486,0))</f>
        <v>18</v>
      </c>
    </row>
    <row r="564" spans="2:7" ht="12" customHeight="1">
      <c r="F564" s="319"/>
    </row>
    <row r="565" spans="2:7" ht="12" customHeight="1">
      <c r="B565" s="406" t="s">
        <v>624</v>
      </c>
      <c r="C565" s="406" t="s">
        <v>579</v>
      </c>
      <c r="D565" s="406" t="s">
        <v>621</v>
      </c>
      <c r="E565" s="466" t="s">
        <v>625</v>
      </c>
      <c r="F565" s="405" t="s">
        <v>626</v>
      </c>
    </row>
    <row r="566" spans="2:7" ht="12" customHeight="1">
      <c r="B566" s="422" t="str">
        <f>C247</f>
        <v>九月</v>
      </c>
      <c r="C566" s="465" t="str">
        <f>INDEX($E$347:$E$395,MATCH(B566,$B$347:$B$395,0))</f>
        <v>七月</v>
      </c>
      <c r="D566" s="422" t="str">
        <f>INDEX(D559:D563,MATCH(E566,E559:E563,0))</f>
        <v>張</v>
      </c>
      <c r="E566" s="422">
        <f>IF(E563&lt;0,IF(E562&lt;0,IF(E561&lt;0,IF(E560&lt;0,E559,E560),E561),E562),E563)</f>
        <v>3</v>
      </c>
      <c r="F566" s="474">
        <f>INDEX(F559:F563,MATCH(E566,E559:E563,0))</f>
        <v>141</v>
      </c>
    </row>
    <row r="567" spans="2:7" ht="12" customHeight="1">
      <c r="G567" s="406" t="s">
        <v>628</v>
      </c>
    </row>
    <row r="568" spans="2:7" ht="12" customHeight="1">
      <c r="C568" s="467" t="s">
        <v>627</v>
      </c>
      <c r="D568" s="468" t="str">
        <f>D566</f>
        <v>張</v>
      </c>
      <c r="E568" s="469">
        <f>E566+29+IF(F568&lt;F566,1)</f>
        <v>32</v>
      </c>
      <c r="F568" s="470">
        <f>MOD(F566+499,蔀月)</f>
        <v>640</v>
      </c>
      <c r="G568" s="471">
        <f>INDEX($H$459:$H$486,MATCH(D568,$G$459:$G$486,0))</f>
        <v>18</v>
      </c>
    </row>
    <row r="569" spans="2:7" ht="12" customHeight="1">
      <c r="D569" s="321" t="str">
        <f>INDEX($G$459:$G$488,MATCH(D568,$G$459:$G$488,0)+1)</f>
        <v>翼</v>
      </c>
      <c r="E569" s="321">
        <f>E568-INT(G568)</f>
        <v>14</v>
      </c>
      <c r="F569" s="462">
        <f>IF(AND(E568&gt;0,E569&lt;0),蔀月-MOD(F568-IF(D568="斗",235),蔀月),MOD(F568-IF(D568="斗",235),蔀月))</f>
        <v>640</v>
      </c>
      <c r="G569" s="472">
        <f t="shared" ref="G569:G571" si="85">INDEX($H$459:$H$486,MATCH(D569,$G$459:$G$486,0))</f>
        <v>18</v>
      </c>
    </row>
    <row r="570" spans="2:7" ht="12" customHeight="1">
      <c r="D570" s="321" t="str">
        <f>INDEX($G$459:$G$488,MATCH(D569,$G$459:$G$488,0)+1)</f>
        <v>軫</v>
      </c>
      <c r="E570" s="321">
        <f t="shared" ref="E570:E572" si="86">E569-INT(G569)</f>
        <v>-4</v>
      </c>
      <c r="F570" s="462">
        <f>IF(AND(E569&gt;0,E570&lt;0),蔀月-MOD(F569-IF(D569="斗",235),蔀月),MOD(F569-IF(D569="斗",235),蔀月))</f>
        <v>300</v>
      </c>
      <c r="G570" s="472">
        <f t="shared" si="85"/>
        <v>17</v>
      </c>
    </row>
    <row r="571" spans="2:7" ht="12" customHeight="1">
      <c r="D571" s="321" t="str">
        <f>INDEX($G$459:$G$488,MATCH(D570,$G$459:$G$488,0)+1)</f>
        <v>角</v>
      </c>
      <c r="E571" s="321">
        <f t="shared" si="86"/>
        <v>-21</v>
      </c>
      <c r="F571" s="462">
        <f>IF(AND(E570&gt;0,E571&lt;0),蔀月-MOD(F570-IF(D570="斗",235),蔀月),MOD(F570-IF(D570="斗",235),蔀月))</f>
        <v>300</v>
      </c>
      <c r="G571" s="472">
        <f t="shared" si="85"/>
        <v>12</v>
      </c>
    </row>
    <row r="572" spans="2:7" ht="12" customHeight="1">
      <c r="D572" s="321" t="str">
        <f>INDEX($G$459:$G$488,MATCH(D571,$G$459:$G$488,0)+1)</f>
        <v>亢</v>
      </c>
      <c r="E572" s="321">
        <f t="shared" si="86"/>
        <v>-33</v>
      </c>
      <c r="F572" s="462">
        <f>IF(AND(E571&gt;0,E572&lt;0),蔀月-MOD(F571-IF(D571="斗",235),蔀月),MOD(F571-IF(D571="斗",235),蔀月))</f>
        <v>300</v>
      </c>
      <c r="G572" s="473">
        <f>INDEX($H$459:$H$486,MATCH(D572,$G$459:$G$486,0))</f>
        <v>9</v>
      </c>
    </row>
    <row r="573" spans="2:7" ht="12" customHeight="1"/>
    <row r="574" spans="2:7" ht="12" customHeight="1">
      <c r="B574" s="406" t="s">
        <v>624</v>
      </c>
      <c r="C574" s="406" t="s">
        <v>579</v>
      </c>
      <c r="D574" s="406" t="s">
        <v>621</v>
      </c>
      <c r="E574" s="466" t="s">
        <v>625</v>
      </c>
      <c r="F574" s="405" t="s">
        <v>626</v>
      </c>
    </row>
    <row r="575" spans="2:7" ht="12" customHeight="1">
      <c r="B575" s="422" t="str">
        <f>C248</f>
        <v>十月</v>
      </c>
      <c r="C575" s="465" t="str">
        <f>INDEX($E$347:$E$395,MATCH(B575,$B$347:$B$395,0))</f>
        <v>八月</v>
      </c>
      <c r="D575" s="422" t="str">
        <f>INDEX(D568:D572,MATCH(E575,E568:E572,0))</f>
        <v>翼</v>
      </c>
      <c r="E575" s="422">
        <f>IF(E572&lt;0,IF(E571&lt;0,IF(E570&lt;0,IF(E569&lt;0,E568,E569),E570),E571),E572)</f>
        <v>14</v>
      </c>
      <c r="F575" s="474">
        <f>INDEX(F568:F572,MATCH(E575,E568:E572,0))</f>
        <v>640</v>
      </c>
    </row>
    <row r="576" spans="2:7" ht="12" customHeight="1">
      <c r="G576" s="406" t="s">
        <v>628</v>
      </c>
    </row>
    <row r="577" spans="2:7" ht="12" customHeight="1">
      <c r="C577" s="467" t="s">
        <v>627</v>
      </c>
      <c r="D577" s="468" t="str">
        <f>D575</f>
        <v>翼</v>
      </c>
      <c r="E577" s="469">
        <f>E575+29+IF(F577&lt;F575,1)</f>
        <v>44</v>
      </c>
      <c r="F577" s="470">
        <f>MOD(F575+499,蔀月)</f>
        <v>199</v>
      </c>
      <c r="G577" s="471">
        <f>INDEX($H$459:$H$486,MATCH(D577,$G$459:$G$486,0))</f>
        <v>18</v>
      </c>
    </row>
    <row r="578" spans="2:7" ht="12" customHeight="1">
      <c r="D578" s="321" t="str">
        <f>INDEX($G$459:$G$488,MATCH(D577,$G$459:$G$488,0)+1)</f>
        <v>軫</v>
      </c>
      <c r="E578" s="321">
        <f>E577-INT(G577)</f>
        <v>26</v>
      </c>
      <c r="F578" s="462">
        <f>IF(AND(E577&gt;0,E578&lt;0),蔀月-MOD(F577-IF(D577="斗",235),蔀月),MOD(F577-IF(D577="斗",235),蔀月))</f>
        <v>199</v>
      </c>
      <c r="G578" s="472">
        <f t="shared" ref="G578:G580" si="87">INDEX($H$459:$H$486,MATCH(D578,$G$459:$G$486,0))</f>
        <v>17</v>
      </c>
    </row>
    <row r="579" spans="2:7" ht="12" customHeight="1">
      <c r="D579" s="321" t="str">
        <f>INDEX($G$459:$G$488,MATCH(D578,$G$459:$G$488,0)+1)</f>
        <v>角</v>
      </c>
      <c r="E579" s="321">
        <f t="shared" ref="E579:E581" si="88">E578-INT(G578)</f>
        <v>9</v>
      </c>
      <c r="F579" s="462">
        <f>IF(AND(E578&gt;0,E579&lt;0),蔀月-MOD(F578-IF(D578="斗",235),蔀月),MOD(F578-IF(D578="斗",235),蔀月))</f>
        <v>199</v>
      </c>
      <c r="G579" s="472">
        <f t="shared" si="87"/>
        <v>12</v>
      </c>
    </row>
    <row r="580" spans="2:7" ht="12" customHeight="1">
      <c r="D580" s="321" t="str">
        <f>INDEX($G$459:$G$488,MATCH(D579,$G$459:$G$488,0)+1)</f>
        <v>亢</v>
      </c>
      <c r="E580" s="321">
        <f t="shared" si="88"/>
        <v>-3</v>
      </c>
      <c r="F580" s="462">
        <f>IF(AND(E579&gt;0,E580&lt;0),蔀月-MOD(F579-IF(D579="斗",235),蔀月),MOD(F579-IF(D579="斗",235),蔀月))</f>
        <v>741</v>
      </c>
      <c r="G580" s="472">
        <f t="shared" si="87"/>
        <v>9</v>
      </c>
    </row>
    <row r="581" spans="2:7" ht="12" customHeight="1">
      <c r="D581" s="321" t="str">
        <f>INDEX($G$459:$G$488,MATCH(D580,$G$459:$G$488,0)+1)</f>
        <v>氐</v>
      </c>
      <c r="E581" s="321">
        <f t="shared" si="88"/>
        <v>-12</v>
      </c>
      <c r="F581" s="462">
        <f>IF(AND(E580&gt;0,E581&lt;0),蔀月-MOD(F580-IF(D580="斗",235),蔀月),MOD(F580-IF(D580="斗",235),蔀月))</f>
        <v>741</v>
      </c>
      <c r="G581" s="473">
        <f>INDEX($H$459:$H$486,MATCH(D581,$G$459:$G$486,0))</f>
        <v>15</v>
      </c>
    </row>
    <row r="582" spans="2:7" ht="12" customHeight="1"/>
    <row r="583" spans="2:7" ht="12" customHeight="1">
      <c r="B583" s="406" t="s">
        <v>624</v>
      </c>
      <c r="C583" s="406" t="s">
        <v>579</v>
      </c>
      <c r="D583" s="406" t="s">
        <v>621</v>
      </c>
      <c r="E583" s="466" t="s">
        <v>625</v>
      </c>
      <c r="F583" s="405" t="s">
        <v>626</v>
      </c>
    </row>
    <row r="584" spans="2:7" ht="12" customHeight="1">
      <c r="B584" s="422" t="str">
        <f>C249</f>
        <v>十一月</v>
      </c>
      <c r="C584" s="465" t="str">
        <f>INDEX($E$347:$E$395,MATCH(B584,$B$347:$B$395,0))</f>
        <v>九月</v>
      </c>
      <c r="D584" s="422" t="str">
        <f>INDEX(D577:D581,MATCH(E584,E577:E581,0))</f>
        <v>角</v>
      </c>
      <c r="E584" s="422">
        <f>IF(E581&lt;0,IF(E580&lt;0,IF(E579&lt;0,IF(E578&lt;0,E577,E578),E579),E580),E581)</f>
        <v>9</v>
      </c>
      <c r="F584" s="474">
        <f>INDEX(F577:F581,MATCH(E584,E577:E581,0))</f>
        <v>199</v>
      </c>
    </row>
    <row r="585" spans="2:7" ht="12" customHeight="1">
      <c r="G585" s="406" t="s">
        <v>628</v>
      </c>
    </row>
    <row r="586" spans="2:7" ht="12" customHeight="1">
      <c r="C586" s="467" t="s">
        <v>627</v>
      </c>
      <c r="D586" s="468" t="str">
        <f>D584</f>
        <v>角</v>
      </c>
      <c r="E586" s="469">
        <f>E584+29+IF(F586&lt;F584,1)</f>
        <v>38</v>
      </c>
      <c r="F586" s="470">
        <f>MOD(F584+499,蔀月)</f>
        <v>698</v>
      </c>
      <c r="G586" s="471">
        <f>INDEX($H$459:$H$486,MATCH(D586,$G$459:$G$486,0))</f>
        <v>12</v>
      </c>
    </row>
    <row r="587" spans="2:7" ht="12" customHeight="1">
      <c r="D587" s="321" t="str">
        <f>INDEX($G$459:$G$488,MATCH(D586,$G$459:$G$488,0)+1)</f>
        <v>亢</v>
      </c>
      <c r="E587" s="321">
        <f>E586-INT(G586)</f>
        <v>26</v>
      </c>
      <c r="F587" s="462">
        <f>IF(AND(E586&gt;0,E587&lt;0),蔀月-MOD(F586-IF(D586="斗",235),蔀月),MOD(F586-IF(D586="斗",235),蔀月))</f>
        <v>698</v>
      </c>
      <c r="G587" s="472">
        <f t="shared" ref="G587:G589" si="89">INDEX($H$459:$H$486,MATCH(D587,$G$459:$G$486,0))</f>
        <v>9</v>
      </c>
    </row>
    <row r="588" spans="2:7" ht="12" customHeight="1">
      <c r="D588" s="321" t="str">
        <f>INDEX($G$459:$G$488,MATCH(D587,$G$459:$G$488,0)+1)</f>
        <v>氐</v>
      </c>
      <c r="E588" s="321">
        <f t="shared" ref="E588:E590" si="90">E587-INT(G587)</f>
        <v>17</v>
      </c>
      <c r="F588" s="462">
        <f>IF(AND(E587&gt;0,E588&lt;0),蔀月-MOD(F587-IF(D587="斗",235),蔀月),MOD(F587-IF(D587="斗",235),蔀月))</f>
        <v>698</v>
      </c>
      <c r="G588" s="472">
        <f t="shared" si="89"/>
        <v>15</v>
      </c>
    </row>
    <row r="589" spans="2:7" ht="12" customHeight="1">
      <c r="D589" s="321" t="str">
        <f>INDEX($G$459:$G$488,MATCH(D588,$G$459:$G$488,0)+1)</f>
        <v>房</v>
      </c>
      <c r="E589" s="321">
        <f t="shared" si="90"/>
        <v>2</v>
      </c>
      <c r="F589" s="462">
        <f>IF(AND(E588&gt;0,E589&lt;0),蔀月-MOD(F588-IF(D588="斗",235),蔀月),MOD(F588-IF(D588="斗",235),蔀月))</f>
        <v>698</v>
      </c>
      <c r="G589" s="472">
        <f t="shared" si="89"/>
        <v>5</v>
      </c>
    </row>
    <row r="590" spans="2:7" ht="12" customHeight="1">
      <c r="D590" s="321" t="str">
        <f>INDEX($G$459:$G$488,MATCH(D589,$G$459:$G$488,0)+1)</f>
        <v>心</v>
      </c>
      <c r="E590" s="321">
        <f t="shared" si="90"/>
        <v>-3</v>
      </c>
      <c r="F590" s="462">
        <f>IF(AND(E589&gt;0,E590&lt;0),蔀月-MOD(F589-IF(D589="斗",235),蔀月),MOD(F589-IF(D589="斗",235),蔀月))</f>
        <v>242</v>
      </c>
      <c r="G590" s="473">
        <f>INDEX($H$459:$H$486,MATCH(D590,$G$459:$G$486,0))</f>
        <v>5</v>
      </c>
    </row>
    <row r="591" spans="2:7" ht="12" customHeight="1"/>
    <row r="592" spans="2:7" ht="12" customHeight="1">
      <c r="B592" s="406" t="s">
        <v>624</v>
      </c>
      <c r="C592" s="406" t="s">
        <v>579</v>
      </c>
      <c r="D592" s="406" t="s">
        <v>621</v>
      </c>
      <c r="E592" s="466" t="s">
        <v>625</v>
      </c>
      <c r="F592" s="405" t="s">
        <v>626</v>
      </c>
    </row>
    <row r="593" spans="2:7" ht="12" customHeight="1">
      <c r="B593" s="422" t="str">
        <f>C250</f>
        <v>十二月</v>
      </c>
      <c r="C593" s="465" t="str">
        <f>INDEX($E$347:$E$395,MATCH(B593,$B$347:$B$395,0))</f>
        <v>十月</v>
      </c>
      <c r="D593" s="422" t="str">
        <f>INDEX(D586:D590,MATCH(E593,E586:E590,0))</f>
        <v>房</v>
      </c>
      <c r="E593" s="422">
        <f>IF(E590&lt;0,IF(E589&lt;0,IF(E588&lt;0,IF(E587&lt;0,E586,E587),E588),E589),E590)</f>
        <v>2</v>
      </c>
      <c r="F593" s="474">
        <f>INDEX(F586:F590,MATCH(E593,E586:E590,0))</f>
        <v>698</v>
      </c>
    </row>
    <row r="594" spans="2:7" ht="12" customHeight="1">
      <c r="G594" s="406" t="s">
        <v>628</v>
      </c>
    </row>
    <row r="595" spans="2:7" ht="12" customHeight="1">
      <c r="C595" s="467" t="s">
        <v>627</v>
      </c>
      <c r="D595" s="468" t="str">
        <f>D593</f>
        <v>房</v>
      </c>
      <c r="E595" s="469">
        <f>E593+29+IF(F595&lt;F593,1)</f>
        <v>32</v>
      </c>
      <c r="F595" s="470">
        <f>MOD(F593+499,蔀月)</f>
        <v>257</v>
      </c>
      <c r="G595" s="471">
        <f>INDEX($H$459:$H$486,MATCH(D595,$G$459:$G$486,0))</f>
        <v>5</v>
      </c>
    </row>
    <row r="596" spans="2:7" ht="12" customHeight="1">
      <c r="D596" s="321" t="str">
        <f>INDEX($G$459:$G$488,MATCH(D595,$G$459:$G$488,0)+1)</f>
        <v>心</v>
      </c>
      <c r="E596" s="321">
        <f>E595-INT(G595)</f>
        <v>27</v>
      </c>
      <c r="F596" s="462">
        <f>IF(AND(E595&gt;0,E596&lt;0),蔀月-MOD(F595-IF(D595="斗",235),蔀月),MOD(F595-IF(D595="斗",235),蔀月))</f>
        <v>257</v>
      </c>
      <c r="G596" s="472">
        <f t="shared" ref="G596:G598" si="91">INDEX($H$459:$H$486,MATCH(D596,$G$459:$G$486,0))</f>
        <v>5</v>
      </c>
    </row>
    <row r="597" spans="2:7" ht="12" customHeight="1">
      <c r="D597" s="321" t="str">
        <f>INDEX($G$459:$G$488,MATCH(D596,$G$459:$G$488,0)+1)</f>
        <v>尾</v>
      </c>
      <c r="E597" s="321">
        <f t="shared" ref="E597:E599" si="92">E596-INT(G596)</f>
        <v>22</v>
      </c>
      <c r="F597" s="462">
        <f>IF(AND(E596&gt;0,E597&lt;0),蔀月-MOD(F596-IF(D596="斗",235),蔀月),MOD(F596-IF(D596="斗",235),蔀月))</f>
        <v>257</v>
      </c>
      <c r="G597" s="472">
        <f t="shared" si="91"/>
        <v>18</v>
      </c>
    </row>
    <row r="598" spans="2:7" ht="12" customHeight="1">
      <c r="D598" s="321" t="str">
        <f>INDEX($G$459:$G$488,MATCH(D597,$G$459:$G$488,0)+1)</f>
        <v>箕</v>
      </c>
      <c r="E598" s="321">
        <f t="shared" si="92"/>
        <v>4</v>
      </c>
      <c r="F598" s="462">
        <f>IF(AND(E597&gt;0,E598&lt;0),蔀月-MOD(F597-IF(D597="斗",235),蔀月),MOD(F597-IF(D597="斗",235),蔀月))</f>
        <v>257</v>
      </c>
      <c r="G598" s="472">
        <f t="shared" si="91"/>
        <v>11</v>
      </c>
    </row>
    <row r="599" spans="2:7" ht="12" customHeight="1">
      <c r="D599" s="321" t="str">
        <f>INDEX($G$459:$G$488,MATCH(D598,$G$459:$G$488,0)+1)</f>
        <v>斗</v>
      </c>
      <c r="E599" s="321">
        <f t="shared" si="92"/>
        <v>-7</v>
      </c>
      <c r="F599" s="462">
        <f>IF(AND(E598&gt;0,E599&lt;0),蔀月-MOD(F598-IF(D598="斗",235),蔀月),MOD(F598-IF(D598="斗",235),蔀月))</f>
        <v>683</v>
      </c>
      <c r="G599" s="473">
        <f>INDEX($H$459:$H$486,MATCH(D599,$G$459:$G$486,0))</f>
        <v>26.25</v>
      </c>
    </row>
    <row r="600" spans="2:7" ht="12" customHeight="1"/>
    <row r="601" spans="2:7" ht="12" customHeight="1">
      <c r="B601" s="406" t="s">
        <v>624</v>
      </c>
      <c r="C601" s="406" t="s">
        <v>579</v>
      </c>
      <c r="D601" s="406" t="s">
        <v>621</v>
      </c>
      <c r="E601" s="466" t="s">
        <v>625</v>
      </c>
      <c r="F601" s="405" t="s">
        <v>626</v>
      </c>
    </row>
    <row r="602" spans="2:7" ht="12" customHeight="1">
      <c r="B602" s="422" t="str">
        <f>C251</f>
        <v>十三月</v>
      </c>
      <c r="C602" s="465" t="str">
        <f>INDEX($E$347:$E$395,MATCH(B602,$B$347:$B$395,0))</f>
        <v>十一月</v>
      </c>
      <c r="D602" s="422" t="str">
        <f>INDEX(D595:D599,MATCH(E602,E595:E599,0))</f>
        <v>箕</v>
      </c>
      <c r="E602" s="422">
        <f>IF(E599&lt;0,IF(E598&lt;0,IF(E597&lt;0,IF(E596&lt;0,E595,E596),E597),E598),E599)</f>
        <v>4</v>
      </c>
      <c r="F602" s="474">
        <f>INDEX(F595:F599,MATCH(E602,E595:E599,0))</f>
        <v>257</v>
      </c>
    </row>
    <row r="603" spans="2:7" ht="12" customHeight="1">
      <c r="G603" s="406" t="s">
        <v>628</v>
      </c>
    </row>
    <row r="604" spans="2:7" ht="12" customHeight="1">
      <c r="C604" s="467" t="s">
        <v>627</v>
      </c>
      <c r="D604" s="468" t="str">
        <f>D602</f>
        <v>箕</v>
      </c>
      <c r="E604" s="469">
        <f>E602+29+IF(F604&lt;F602,1)</f>
        <v>33</v>
      </c>
      <c r="F604" s="470">
        <f>MOD(F602+499,蔀月)</f>
        <v>756</v>
      </c>
      <c r="G604" s="471">
        <f>INDEX($H$459:$H$486,MATCH(D604,$G$459:$G$486,0))</f>
        <v>11</v>
      </c>
    </row>
    <row r="605" spans="2:7" ht="12" customHeight="1">
      <c r="D605" s="321" t="str">
        <f>INDEX($G$459:$G$488,MATCH(D604,$G$459:$G$488,0)+1)</f>
        <v>斗</v>
      </c>
      <c r="E605" s="321">
        <f>E604-INT(G604)</f>
        <v>22</v>
      </c>
      <c r="F605" s="462">
        <f>IF(AND(E604&gt;0,E605&lt;0),蔀月-MOD(F604-IF(D604="斗",235),蔀月),MOD(F604-IF(D604="斗",235),蔀月))</f>
        <v>756</v>
      </c>
      <c r="G605" s="472">
        <f t="shared" ref="G605:G607" si="93">INDEX($H$459:$H$486,MATCH(D605,$G$459:$G$486,0))</f>
        <v>26.25</v>
      </c>
    </row>
    <row r="606" spans="2:7" ht="12" customHeight="1">
      <c r="D606" s="321" t="str">
        <f>INDEX($G$459:$G$488,MATCH(D605,$G$459:$G$488,0)+1)</f>
        <v>牛</v>
      </c>
      <c r="E606" s="321">
        <f t="shared" ref="E606:E608" si="94">E605-INT(G605)</f>
        <v>-4</v>
      </c>
      <c r="F606" s="462">
        <f>IF(AND(E605&gt;0,E606&lt;0),蔀月-MOD(F605-IF(D605="斗",235),蔀月),MOD(F605-IF(D605="斗",235),蔀月))</f>
        <v>419</v>
      </c>
      <c r="G606" s="472">
        <f t="shared" si="93"/>
        <v>8</v>
      </c>
    </row>
    <row r="607" spans="2:7" ht="12" customHeight="1">
      <c r="D607" s="321" t="str">
        <f>INDEX($G$459:$G$488,MATCH(D606,$G$459:$G$488,0)+1)</f>
        <v>女</v>
      </c>
      <c r="E607" s="321">
        <f t="shared" si="94"/>
        <v>-12</v>
      </c>
      <c r="F607" s="462">
        <f>IF(AND(E606&gt;0,E607&lt;0),蔀月-MOD(F606-IF(D606="斗",235),蔀月),MOD(F606-IF(D606="斗",235),蔀月))</f>
        <v>419</v>
      </c>
      <c r="G607" s="472">
        <f t="shared" si="93"/>
        <v>12</v>
      </c>
    </row>
    <row r="608" spans="2:7" ht="12" customHeight="1">
      <c r="D608" s="321" t="str">
        <f>INDEX($G$459:$G$488,MATCH(D607,$G$459:$G$488,0)+1)</f>
        <v>虛</v>
      </c>
      <c r="E608" s="321">
        <f t="shared" si="94"/>
        <v>-24</v>
      </c>
      <c r="F608" s="462">
        <f>IF(AND(E607&gt;0,E608&lt;0),蔀月-MOD(F607-IF(D607="斗",235),蔀月),MOD(F607-IF(D607="斗",235),蔀月))</f>
        <v>419</v>
      </c>
      <c r="G608" s="473">
        <f>INDEX($H$459:$H$486,MATCH(D608,$G$459:$G$486,0))</f>
        <v>10</v>
      </c>
    </row>
    <row r="609" spans="2:7" ht="12" customHeight="1"/>
    <row r="610" spans="2:7" ht="12" customHeight="1">
      <c r="B610" s="406" t="s">
        <v>624</v>
      </c>
      <c r="C610" s="406" t="s">
        <v>579</v>
      </c>
      <c r="D610" s="406" t="s">
        <v>621</v>
      </c>
      <c r="E610" s="466" t="s">
        <v>625</v>
      </c>
      <c r="F610" s="405" t="s">
        <v>626</v>
      </c>
    </row>
    <row r="611" spans="2:7" ht="12" customHeight="1">
      <c r="B611" s="422" t="str">
        <f>B399</f>
        <v>十四月</v>
      </c>
      <c r="C611" s="465" t="str">
        <f>INDEX($E$347:$E$403,MATCH(B611,$B$347:$B$403,0))</f>
        <v>十二月</v>
      </c>
      <c r="D611" s="422" t="str">
        <f>INDEX(D604:D608,MATCH(E611,E604:E608,0))</f>
        <v>斗</v>
      </c>
      <c r="E611" s="422">
        <f>IF(E608&lt;0,IF(E607&lt;0,IF(E606&lt;0,IF(E605&lt;0,E604,E605),E606),E607),E608)</f>
        <v>22</v>
      </c>
      <c r="F611" s="474">
        <f>INDEX(F604:F608,MATCH(E611,E604:E608,0))</f>
        <v>756</v>
      </c>
    </row>
    <row r="612" spans="2:7" ht="12" customHeight="1">
      <c r="G612" s="406" t="s">
        <v>628</v>
      </c>
    </row>
    <row r="613" spans="2:7" ht="12" customHeight="1">
      <c r="C613" s="467" t="s">
        <v>627</v>
      </c>
      <c r="D613" s="468" t="str">
        <f>D611</f>
        <v>斗</v>
      </c>
      <c r="E613" s="469">
        <f>E611+29+IF(F613&lt;F611,1)</f>
        <v>52</v>
      </c>
      <c r="F613" s="470">
        <f>MOD(F611+499,蔀月)</f>
        <v>315</v>
      </c>
      <c r="G613" s="471">
        <f>INDEX($H$459:$H$486,MATCH(D613,$G$459:$G$486,0))</f>
        <v>26.25</v>
      </c>
    </row>
    <row r="614" spans="2:7" ht="12" customHeight="1">
      <c r="D614" s="321" t="str">
        <f>INDEX($G$459:$G$488,MATCH(D613,$G$459:$G$488,0)+1)</f>
        <v>牛</v>
      </c>
      <c r="E614" s="321">
        <f>E613-INT(G613)</f>
        <v>26</v>
      </c>
      <c r="F614" s="462">
        <f>IF(AND(E613&gt;0,E614&lt;0),蔀月-MOD(F613-IF(D613="斗",235),蔀月),MOD(F613-IF(D613="斗",235),蔀月))</f>
        <v>80</v>
      </c>
      <c r="G614" s="472">
        <f t="shared" ref="G614:G616" si="95">INDEX($H$459:$H$486,MATCH(D614,$G$459:$G$486,0))</f>
        <v>8</v>
      </c>
    </row>
    <row r="615" spans="2:7" ht="12" customHeight="1">
      <c r="D615" s="321" t="str">
        <f>INDEX($G$459:$G$488,MATCH(D614,$G$459:$G$488,0)+1)</f>
        <v>女</v>
      </c>
      <c r="E615" s="321">
        <f t="shared" ref="E615:E617" si="96">E614-INT(G614)</f>
        <v>18</v>
      </c>
      <c r="F615" s="462">
        <f>IF(AND(E614&gt;0,E615&lt;0),蔀月-MOD(F614-IF(D614="斗",235),蔀月),MOD(F614-IF(D614="斗",235),蔀月))</f>
        <v>80</v>
      </c>
      <c r="G615" s="472">
        <f t="shared" si="95"/>
        <v>12</v>
      </c>
    </row>
    <row r="616" spans="2:7" ht="12" customHeight="1">
      <c r="D616" s="321" t="str">
        <f>INDEX($G$459:$G$488,MATCH(D615,$G$459:$G$488,0)+1)</f>
        <v>虛</v>
      </c>
      <c r="E616" s="321">
        <f t="shared" si="96"/>
        <v>6</v>
      </c>
      <c r="F616" s="462">
        <f>IF(AND(E615&gt;0,E616&lt;0),蔀月-MOD(F615-IF(D615="斗",235),蔀月),MOD(F615-IF(D615="斗",235),蔀月))</f>
        <v>80</v>
      </c>
      <c r="G616" s="472">
        <f t="shared" si="95"/>
        <v>10</v>
      </c>
    </row>
    <row r="617" spans="2:7" ht="12" customHeight="1">
      <c r="D617" s="321" t="str">
        <f>INDEX($G$459:$G$488,MATCH(D616,$G$459:$G$488,0)+1)</f>
        <v>危</v>
      </c>
      <c r="E617" s="321">
        <f t="shared" si="96"/>
        <v>-4</v>
      </c>
      <c r="F617" s="462">
        <f>IF(AND(E616&gt;0,E617&lt;0),蔀月-MOD(F616-IF(D616="斗",235),蔀月),MOD(F616-IF(D616="斗",235),蔀月))</f>
        <v>860</v>
      </c>
      <c r="G617" s="473">
        <f>INDEX($H$459:$H$486,MATCH(D617,$G$459:$G$486,0))</f>
        <v>17</v>
      </c>
    </row>
    <row r="618" spans="2:7" ht="12" customHeight="1"/>
    <row r="619" spans="2:7" ht="12" customHeight="1">
      <c r="B619" s="406" t="s">
        <v>624</v>
      </c>
      <c r="C619" s="406" t="s">
        <v>579</v>
      </c>
      <c r="D619" s="406" t="s">
        <v>621</v>
      </c>
      <c r="E619" s="466" t="s">
        <v>625</v>
      </c>
      <c r="F619" s="405" t="s">
        <v>626</v>
      </c>
    </row>
    <row r="620" spans="2:7" ht="12" customHeight="1">
      <c r="B620" s="422" t="str">
        <f>B403</f>
        <v>十五月</v>
      </c>
      <c r="C620" s="465" t="str">
        <f>INDEX($E$347:$E$403,MATCH(B620,$B$347:$B$403,0))</f>
        <v>閏十二月</v>
      </c>
      <c r="D620" s="422" t="str">
        <f>INDEX(D613:D617,MATCH(E620,E613:E617,0))</f>
        <v>虛</v>
      </c>
      <c r="E620" s="422">
        <f>IF(E617&lt;0,IF(E616&lt;0,IF(E615&lt;0,IF(E614&lt;0,E613,E614),E615),E616),E617)</f>
        <v>6</v>
      </c>
      <c r="F620" s="474">
        <f>INDEX(F613:F617,MATCH(E620,E613:E617,0))</f>
        <v>80</v>
      </c>
    </row>
    <row r="621" spans="2:7" ht="12" customHeight="1">
      <c r="G621" s="406" t="s">
        <v>628</v>
      </c>
    </row>
    <row r="622" spans="2:7" ht="12" customHeight="1">
      <c r="C622" s="467" t="s">
        <v>627</v>
      </c>
      <c r="D622" s="468" t="str">
        <f>D620</f>
        <v>虛</v>
      </c>
      <c r="E622" s="469">
        <f>E620+29+IF(F622&lt;F620,1)</f>
        <v>35</v>
      </c>
      <c r="F622" s="470">
        <f>MOD(F620+499,蔀月)</f>
        <v>579</v>
      </c>
      <c r="G622" s="471">
        <f>INDEX($H$459:$H$486,MATCH(D622,$G$459:$G$486,0))</f>
        <v>10</v>
      </c>
    </row>
    <row r="623" spans="2:7" ht="12" customHeight="1">
      <c r="D623" s="321" t="str">
        <f>INDEX($G$459:$G$488,MATCH(D622,$G$459:$G$488,0)+1)</f>
        <v>危</v>
      </c>
      <c r="E623" s="321">
        <f>E622-INT(G622)</f>
        <v>25</v>
      </c>
      <c r="F623" s="462">
        <f>IF(AND(E622&gt;0,E623&lt;0),蔀月-MOD(F622-IF(D622="斗",235),蔀月),MOD(F622-IF(D622="斗",235),蔀月))</f>
        <v>579</v>
      </c>
      <c r="G623" s="472">
        <f t="shared" ref="G623:G625" si="97">INDEX($H$459:$H$486,MATCH(D623,$G$459:$G$486,0))</f>
        <v>17</v>
      </c>
    </row>
    <row r="624" spans="2:7" ht="12" customHeight="1">
      <c r="D624" s="321" t="str">
        <f>INDEX($G$459:$G$488,MATCH(D623,$G$459:$G$488,0)+1)</f>
        <v>室</v>
      </c>
      <c r="E624" s="321">
        <f t="shared" ref="E624:E626" si="98">E623-INT(G623)</f>
        <v>8</v>
      </c>
      <c r="F624" s="462">
        <f>IF(AND(E623&gt;0,E624&lt;0),蔀月-MOD(F623-IF(D623="斗",235),蔀月),MOD(F623-IF(D623="斗",235),蔀月))</f>
        <v>579</v>
      </c>
      <c r="G624" s="472">
        <f t="shared" si="97"/>
        <v>16</v>
      </c>
    </row>
    <row r="625" spans="1:15" ht="12" customHeight="1">
      <c r="D625" s="321" t="str">
        <f>INDEX($G$459:$G$488,MATCH(D624,$G$459:$G$488,0)+1)</f>
        <v>壁</v>
      </c>
      <c r="E625" s="321">
        <f t="shared" si="98"/>
        <v>-8</v>
      </c>
      <c r="F625" s="462">
        <f>IF(AND(E624&gt;0,E625&lt;0),蔀月-MOD(F624-IF(D624="斗",235),蔀月),MOD(F624-IF(D624="斗",235),蔀月))</f>
        <v>361</v>
      </c>
      <c r="G625" s="472">
        <f t="shared" si="97"/>
        <v>9</v>
      </c>
    </row>
    <row r="626" spans="1:15" ht="12" customHeight="1">
      <c r="D626" s="321" t="str">
        <f>INDEX($G$459:$G$488,MATCH(D625,$G$459:$G$488,0)+1)</f>
        <v>奎</v>
      </c>
      <c r="E626" s="321">
        <f t="shared" si="98"/>
        <v>-17</v>
      </c>
      <c r="F626" s="462">
        <f>IF(AND(E625&gt;0,E626&lt;0),蔀月-MOD(F625-IF(D625="斗",235),蔀月),MOD(F625-IF(D625="斗",235),蔀月))</f>
        <v>361</v>
      </c>
      <c r="G626" s="473">
        <f>INDEX($H$459:$H$486,MATCH(D626,$G$459:$G$486,0))</f>
        <v>16</v>
      </c>
    </row>
    <row r="627" spans="1:15" ht="12" customHeight="1" thickBot="1">
      <c r="B627" s="69"/>
      <c r="C627" s="10"/>
      <c r="D627" s="10"/>
      <c r="E627" s="10"/>
      <c r="F627" s="10"/>
      <c r="G627" s="10"/>
      <c r="H627" s="10"/>
      <c r="I627" s="10"/>
      <c r="J627" s="10"/>
      <c r="K627" s="10"/>
    </row>
    <row r="628" spans="1:15" ht="12" customHeight="1" thickTop="1">
      <c r="B628" s="70"/>
      <c r="C628" s="71"/>
      <c r="D628" s="71"/>
      <c r="E628" s="71"/>
      <c r="F628" s="71"/>
      <c r="G628" s="71"/>
      <c r="H628" s="71"/>
      <c r="I628" s="71"/>
      <c r="J628" s="71"/>
      <c r="K628" s="71"/>
    </row>
    <row r="629" spans="1:15" ht="12" customHeight="1">
      <c r="A629" s="405" t="s">
        <v>637</v>
      </c>
      <c r="B629" s="91" t="s">
        <v>633</v>
      </c>
    </row>
    <row r="630" spans="1:15" s="453" customFormat="1" ht="12" customHeight="1">
      <c r="A630" s="452" t="s">
        <v>638</v>
      </c>
      <c r="B630" s="453" t="s">
        <v>635</v>
      </c>
      <c r="I630" s="453">
        <f>周天*閏餘</f>
        <v>16071</v>
      </c>
    </row>
    <row r="631" spans="1:15" ht="12" customHeight="1">
      <c r="B631" t="s">
        <v>639</v>
      </c>
      <c r="I631">
        <f>大周-I630</f>
        <v>327264</v>
      </c>
    </row>
    <row r="632" spans="1:15" ht="12" customHeight="1">
      <c r="B632" t="s">
        <v>640</v>
      </c>
      <c r="I632" s="34">
        <f>INT(I631/蔀月)</f>
        <v>348</v>
      </c>
      <c r="J632" s="319">
        <f>MOD(I631,蔀月)</f>
        <v>144</v>
      </c>
    </row>
    <row r="633" spans="1:15" ht="12" customHeight="1">
      <c r="B633" t="s">
        <v>636</v>
      </c>
      <c r="H633" s="321" t="s">
        <v>404</v>
      </c>
      <c r="I633" s="34">
        <f>I632+21+IF(J633&lt;J632,1)</f>
        <v>369</v>
      </c>
      <c r="J633" s="319">
        <f>MOD(J632+235,蔀月)</f>
        <v>379</v>
      </c>
    </row>
    <row r="634" spans="1:15" ht="12" customHeight="1"/>
    <row r="635" spans="1:15" s="451" customFormat="1" ht="12" customHeight="1">
      <c r="A635" s="449" t="s">
        <v>634</v>
      </c>
      <c r="B635" s="450" t="s">
        <v>631</v>
      </c>
    </row>
    <row r="636" spans="1:15" s="79" customFormat="1" ht="12" customHeight="1">
      <c r="A636" s="452" t="s">
        <v>632</v>
      </c>
      <c r="B636" t="s">
        <v>641</v>
      </c>
      <c r="C636"/>
      <c r="D636"/>
      <c r="E636"/>
      <c r="F636"/>
      <c r="G636"/>
      <c r="H636"/>
      <c r="I636">
        <f>積日</f>
        <v>23358</v>
      </c>
      <c r="K636"/>
      <c r="L636"/>
      <c r="M636"/>
      <c r="N636"/>
      <c r="O636"/>
    </row>
    <row r="637" spans="1:15" s="79" customFormat="1" ht="12" customHeight="1">
      <c r="A637" s="452"/>
      <c r="B637"/>
      <c r="C637"/>
      <c r="D637"/>
      <c r="E637"/>
      <c r="F637"/>
      <c r="G637"/>
      <c r="H637"/>
      <c r="I637"/>
      <c r="K637"/>
      <c r="L637"/>
      <c r="M637"/>
      <c r="N637"/>
      <c r="O637"/>
    </row>
    <row r="638" spans="1:15" ht="12" customHeight="1">
      <c r="B638" t="s">
        <v>642</v>
      </c>
      <c r="I638">
        <f>I636*蔀法</f>
        <v>1775208</v>
      </c>
    </row>
    <row r="639" spans="1:15" s="79" customFormat="1" ht="12" customHeight="1">
      <c r="A639" s="452"/>
      <c r="B639" t="s">
        <v>643</v>
      </c>
      <c r="C639"/>
      <c r="D639"/>
      <c r="E639"/>
      <c r="F639"/>
      <c r="G639"/>
      <c r="H639"/>
      <c r="I639" s="34">
        <f>INT(I638/蔀日)</f>
        <v>63</v>
      </c>
      <c r="J639" s="319">
        <f>MOD(I638,蔀日)</f>
        <v>26391</v>
      </c>
      <c r="K639"/>
      <c r="L639"/>
      <c r="M639"/>
      <c r="N639"/>
      <c r="O639"/>
    </row>
    <row r="640" spans="1:15" s="79" customFormat="1" ht="12" customHeight="1">
      <c r="A640" s="452"/>
      <c r="B640" t="s">
        <v>644</v>
      </c>
      <c r="C640"/>
      <c r="D640"/>
      <c r="E640"/>
      <c r="F640"/>
      <c r="G640"/>
      <c r="H640"/>
      <c r="I640" s="34">
        <f>INT(J639/蔀法)</f>
        <v>347</v>
      </c>
      <c r="J640" s="319">
        <f>MOD(J639,蔀法)</f>
        <v>19</v>
      </c>
      <c r="K640"/>
      <c r="L640"/>
      <c r="M640"/>
      <c r="N640"/>
      <c r="O640"/>
    </row>
    <row r="641" spans="1:15" s="79" customFormat="1" ht="12" customHeight="1">
      <c r="A641" s="452"/>
      <c r="B641"/>
      <c r="C641"/>
      <c r="D641"/>
      <c r="E641"/>
      <c r="F641"/>
      <c r="G641"/>
      <c r="H641"/>
      <c r="I641"/>
      <c r="K641"/>
      <c r="L641"/>
      <c r="M641"/>
      <c r="N641"/>
      <c r="O641"/>
    </row>
    <row r="642" spans="1:15" ht="12" customHeight="1">
      <c r="B642" t="s">
        <v>646</v>
      </c>
      <c r="I642" s="34">
        <f>日夜半積度+21+IF(J642&lt;日夜半積度餘分,1)</f>
        <v>368</v>
      </c>
      <c r="J642" s="319">
        <f>MOD(日夜半積度餘分+19,蔀法)</f>
        <v>38</v>
      </c>
    </row>
    <row r="643" spans="1:15" ht="13.95" customHeight="1"/>
    <row r="644" spans="1:15" ht="13.95" customHeight="1">
      <c r="G644" s="405" t="s">
        <v>621</v>
      </c>
      <c r="H644" s="405" t="s">
        <v>622</v>
      </c>
      <c r="I644" s="406" t="s">
        <v>623</v>
      </c>
    </row>
    <row r="645" spans="1:15" ht="13.95" customHeight="1">
      <c r="G645" t="s">
        <v>404</v>
      </c>
      <c r="H645" s="461">
        <f>Tables!$D$4</f>
        <v>26.25</v>
      </c>
      <c r="I645" s="420">
        <f>I642</f>
        <v>368</v>
      </c>
      <c r="J645" s="421">
        <f>J642</f>
        <v>38</v>
      </c>
    </row>
    <row r="646" spans="1:15" ht="13.95" customHeight="1">
      <c r="G646" t="s">
        <v>426</v>
      </c>
      <c r="H646" s="461">
        <f>Tables!$D$5</f>
        <v>8</v>
      </c>
      <c r="I646" s="463">
        <f>I645-INT(H645)-IF(J646&gt;J645,1)</f>
        <v>342</v>
      </c>
      <c r="J646" s="464">
        <f>MOD(J645-19,蔀法)</f>
        <v>19</v>
      </c>
    </row>
    <row r="647" spans="1:15" ht="13.95" customHeight="1">
      <c r="G647" t="s">
        <v>408</v>
      </c>
      <c r="H647" s="461">
        <f>Tables!$D$6</f>
        <v>12</v>
      </c>
      <c r="I647" s="34">
        <f>I646-H646</f>
        <v>334</v>
      </c>
      <c r="J647" s="319">
        <f>J646</f>
        <v>19</v>
      </c>
    </row>
    <row r="648" spans="1:15" ht="13.95" customHeight="1">
      <c r="G648" t="s">
        <v>411</v>
      </c>
      <c r="H648" s="461">
        <f>Tables!$D$7</f>
        <v>10</v>
      </c>
      <c r="I648" s="34">
        <f t="shared" ref="I648:I666" si="99">I647-H647</f>
        <v>322</v>
      </c>
      <c r="J648" s="319">
        <f t="shared" ref="J648:J666" si="100">J647</f>
        <v>19</v>
      </c>
    </row>
    <row r="649" spans="1:15" ht="13.95" customHeight="1">
      <c r="G649" t="s">
        <v>414</v>
      </c>
      <c r="H649" s="461">
        <f>Tables!$D$8</f>
        <v>17</v>
      </c>
      <c r="I649" s="34">
        <f t="shared" si="99"/>
        <v>312</v>
      </c>
      <c r="J649" s="319">
        <f t="shared" si="100"/>
        <v>19</v>
      </c>
    </row>
    <row r="650" spans="1:15" ht="13.95" customHeight="1">
      <c r="G650" t="s">
        <v>417</v>
      </c>
      <c r="H650" s="461">
        <f>Tables!$D$9</f>
        <v>16</v>
      </c>
      <c r="I650" s="34">
        <f t="shared" si="99"/>
        <v>295</v>
      </c>
      <c r="J650" s="319">
        <f t="shared" si="100"/>
        <v>19</v>
      </c>
    </row>
    <row r="651" spans="1:15" ht="13.95" customHeight="1">
      <c r="G651" t="s">
        <v>420</v>
      </c>
      <c r="H651" s="461">
        <f>Tables!$D$10</f>
        <v>9</v>
      </c>
      <c r="I651" s="34">
        <f t="shared" si="99"/>
        <v>279</v>
      </c>
      <c r="J651" s="319">
        <f t="shared" si="100"/>
        <v>19</v>
      </c>
    </row>
    <row r="652" spans="1:15" ht="13.95" customHeight="1">
      <c r="G652" t="s">
        <v>405</v>
      </c>
      <c r="H652" s="461">
        <f>Tables!$D$11</f>
        <v>16</v>
      </c>
      <c r="I652" s="34">
        <f t="shared" si="99"/>
        <v>270</v>
      </c>
      <c r="J652" s="319">
        <f t="shared" si="100"/>
        <v>19</v>
      </c>
    </row>
    <row r="653" spans="1:15" ht="13.95" customHeight="1">
      <c r="G653" t="s">
        <v>409</v>
      </c>
      <c r="H653" s="461">
        <f>Tables!$D$12</f>
        <v>12</v>
      </c>
      <c r="I653" s="34">
        <f t="shared" si="99"/>
        <v>254</v>
      </c>
      <c r="J653" s="319">
        <f t="shared" si="100"/>
        <v>19</v>
      </c>
    </row>
    <row r="654" spans="1:15" ht="13.95" customHeight="1">
      <c r="G654" t="s">
        <v>412</v>
      </c>
      <c r="H654" s="461">
        <f>Tables!$D$13</f>
        <v>14</v>
      </c>
      <c r="I654" s="34">
        <f t="shared" si="99"/>
        <v>242</v>
      </c>
      <c r="J654" s="319">
        <f t="shared" si="100"/>
        <v>19</v>
      </c>
    </row>
    <row r="655" spans="1:15" ht="13.95" customHeight="1">
      <c r="G655" t="s">
        <v>424</v>
      </c>
      <c r="H655" s="461">
        <f>Tables!$D$14</f>
        <v>11</v>
      </c>
      <c r="I655" s="34">
        <f t="shared" si="99"/>
        <v>228</v>
      </c>
      <c r="J655" s="319">
        <f t="shared" si="100"/>
        <v>19</v>
      </c>
    </row>
    <row r="656" spans="1:15" ht="13.95" customHeight="1">
      <c r="G656" t="s">
        <v>415</v>
      </c>
      <c r="H656" s="461">
        <f>Tables!$D$15</f>
        <v>16</v>
      </c>
      <c r="I656" s="34">
        <f t="shared" si="99"/>
        <v>217</v>
      </c>
      <c r="J656" s="319">
        <f t="shared" si="100"/>
        <v>19</v>
      </c>
    </row>
    <row r="657" spans="7:10" ht="13.95" customHeight="1">
      <c r="G657" t="s">
        <v>619</v>
      </c>
      <c r="H657" s="461">
        <f>Tables!$D$16</f>
        <v>2</v>
      </c>
      <c r="I657" s="34">
        <f t="shared" si="99"/>
        <v>201</v>
      </c>
      <c r="J657" s="319">
        <f t="shared" si="100"/>
        <v>19</v>
      </c>
    </row>
    <row r="658" spans="7:10" ht="13.95" customHeight="1">
      <c r="G658" t="s">
        <v>418</v>
      </c>
      <c r="H658" s="461">
        <f>Tables!$D$17</f>
        <v>9</v>
      </c>
      <c r="I658" s="34">
        <f t="shared" si="99"/>
        <v>199</v>
      </c>
      <c r="J658" s="319">
        <f t="shared" si="100"/>
        <v>19</v>
      </c>
    </row>
    <row r="659" spans="7:10" ht="13.95" customHeight="1">
      <c r="G659" t="s">
        <v>421</v>
      </c>
      <c r="H659" s="461">
        <f>Tables!$D$18</f>
        <v>33</v>
      </c>
      <c r="I659" s="34">
        <f t="shared" si="99"/>
        <v>190</v>
      </c>
      <c r="J659" s="319">
        <f t="shared" si="100"/>
        <v>19</v>
      </c>
    </row>
    <row r="660" spans="7:10" ht="13.95" customHeight="1">
      <c r="G660" t="s">
        <v>422</v>
      </c>
      <c r="H660" s="461">
        <f>Tables!$D$19</f>
        <v>4</v>
      </c>
      <c r="I660" s="34">
        <f t="shared" si="99"/>
        <v>157</v>
      </c>
      <c r="J660" s="319">
        <f t="shared" si="100"/>
        <v>19</v>
      </c>
    </row>
    <row r="661" spans="7:10" ht="13.95" customHeight="1">
      <c r="G661" t="s">
        <v>429</v>
      </c>
      <c r="H661" s="461">
        <f>Tables!$D$20</f>
        <v>15</v>
      </c>
      <c r="I661" s="34">
        <f t="shared" si="99"/>
        <v>153</v>
      </c>
      <c r="J661" s="319">
        <f t="shared" si="100"/>
        <v>19</v>
      </c>
    </row>
    <row r="662" spans="7:10" ht="13.95" customHeight="1">
      <c r="G662" t="s">
        <v>423</v>
      </c>
      <c r="H662" s="461">
        <f>Tables!$D$21</f>
        <v>7</v>
      </c>
      <c r="I662" s="34">
        <f t="shared" si="99"/>
        <v>138</v>
      </c>
      <c r="J662" s="319">
        <f t="shared" si="100"/>
        <v>19</v>
      </c>
    </row>
    <row r="663" spans="7:10" ht="13.95" customHeight="1">
      <c r="G663" t="s">
        <v>425</v>
      </c>
      <c r="H663" s="461">
        <f>Tables!$D$22</f>
        <v>18</v>
      </c>
      <c r="I663" s="34">
        <f t="shared" si="99"/>
        <v>131</v>
      </c>
      <c r="J663" s="319">
        <f t="shared" si="100"/>
        <v>19</v>
      </c>
    </row>
    <row r="664" spans="7:10" ht="13.95" customHeight="1">
      <c r="G664" t="s">
        <v>427</v>
      </c>
      <c r="H664" s="461">
        <f>Tables!$D$23</f>
        <v>18</v>
      </c>
      <c r="I664" s="34">
        <f t="shared" si="99"/>
        <v>113</v>
      </c>
      <c r="J664" s="319">
        <f t="shared" si="100"/>
        <v>19</v>
      </c>
    </row>
    <row r="665" spans="7:10" ht="13.95" customHeight="1">
      <c r="G665" t="s">
        <v>430</v>
      </c>
      <c r="H665" s="461">
        <f>Tables!$D$24</f>
        <v>17</v>
      </c>
      <c r="I665" s="34">
        <f t="shared" si="99"/>
        <v>95</v>
      </c>
      <c r="J665" s="319">
        <f t="shared" si="100"/>
        <v>19</v>
      </c>
    </row>
    <row r="666" spans="7:10" ht="13.95" customHeight="1">
      <c r="G666" t="s">
        <v>428</v>
      </c>
      <c r="H666" s="461">
        <f>Tables!$D$25</f>
        <v>12</v>
      </c>
      <c r="I666" s="34">
        <f t="shared" si="99"/>
        <v>78</v>
      </c>
      <c r="J666" s="319">
        <f t="shared" si="100"/>
        <v>19</v>
      </c>
    </row>
    <row r="667" spans="7:10" ht="13.95" customHeight="1">
      <c r="G667" t="s">
        <v>406</v>
      </c>
      <c r="H667" s="461">
        <f>Tables!$D$26</f>
        <v>9</v>
      </c>
      <c r="I667" s="34">
        <f>I666-H666</f>
        <v>66</v>
      </c>
      <c r="J667" s="319">
        <f>J666</f>
        <v>19</v>
      </c>
    </row>
    <row r="668" spans="7:10" ht="13.95" customHeight="1">
      <c r="G668" t="s">
        <v>410</v>
      </c>
      <c r="H668" s="461">
        <f>Tables!$D$27</f>
        <v>15</v>
      </c>
      <c r="I668" s="34">
        <f t="shared" ref="I668:I673" si="101">I667-H667</f>
        <v>57</v>
      </c>
      <c r="J668" s="319">
        <f t="shared" ref="J668:J672" si="102">J667</f>
        <v>19</v>
      </c>
    </row>
    <row r="669" spans="7:10" ht="13.95" customHeight="1">
      <c r="G669" t="s">
        <v>620</v>
      </c>
      <c r="H669" s="461">
        <f>Tables!$D$28</f>
        <v>5</v>
      </c>
      <c r="I669" s="34">
        <f t="shared" si="101"/>
        <v>42</v>
      </c>
      <c r="J669" s="319">
        <f t="shared" si="102"/>
        <v>19</v>
      </c>
    </row>
    <row r="670" spans="7:10" ht="13.95" customHeight="1">
      <c r="G670" t="s">
        <v>413</v>
      </c>
      <c r="H670" s="461">
        <f>Tables!$D$29</f>
        <v>5</v>
      </c>
      <c r="I670" s="34">
        <f t="shared" si="101"/>
        <v>37</v>
      </c>
      <c r="J670" s="319">
        <f t="shared" si="102"/>
        <v>19</v>
      </c>
    </row>
    <row r="671" spans="7:10" ht="13.95" customHeight="1">
      <c r="G671" t="s">
        <v>416</v>
      </c>
      <c r="H671" s="461">
        <f>Tables!$D$30</f>
        <v>18</v>
      </c>
      <c r="I671" s="34">
        <f t="shared" si="101"/>
        <v>32</v>
      </c>
      <c r="J671" s="319">
        <f t="shared" si="102"/>
        <v>19</v>
      </c>
    </row>
    <row r="672" spans="7:10" ht="13.95" customHeight="1">
      <c r="G672" t="s">
        <v>419</v>
      </c>
      <c r="H672" s="461">
        <f>Tables!$D$31</f>
        <v>11</v>
      </c>
      <c r="I672">
        <f t="shared" si="101"/>
        <v>14</v>
      </c>
      <c r="J672" s="462">
        <f t="shared" si="102"/>
        <v>19</v>
      </c>
    </row>
    <row r="673" spans="1:17" ht="13.95" customHeight="1">
      <c r="G673" t="s">
        <v>404</v>
      </c>
      <c r="H673" s="461">
        <f>Tables!$D$32</f>
        <v>26.25</v>
      </c>
      <c r="I673">
        <f t="shared" si="101"/>
        <v>3</v>
      </c>
      <c r="J673" s="462">
        <f>J672</f>
        <v>19</v>
      </c>
    </row>
    <row r="674" spans="1:17" ht="13.95" customHeight="1">
      <c r="G674" t="s">
        <v>426</v>
      </c>
      <c r="H674" s="461">
        <f>H646</f>
        <v>8</v>
      </c>
      <c r="I674">
        <f>I673-INT(H673)-IF(J674&gt;J673,1)</f>
        <v>-23</v>
      </c>
      <c r="J674" s="462">
        <f>MOD(蔀法-(J673-19),蔀法)</f>
        <v>0</v>
      </c>
    </row>
    <row r="675" spans="1:17" s="79" customFormat="1" ht="13.95" customHeight="1" thickBot="1">
      <c r="A675" s="77"/>
      <c r="B675" s="69"/>
      <c r="C675" s="10"/>
      <c r="D675" s="10"/>
      <c r="E675" s="10"/>
      <c r="F675" s="10"/>
      <c r="G675" s="10"/>
      <c r="H675" s="10"/>
      <c r="I675" s="56"/>
      <c r="J675" s="10"/>
      <c r="K675" s="10"/>
      <c r="L675"/>
      <c r="M675"/>
      <c r="N675"/>
      <c r="O675"/>
      <c r="P675"/>
      <c r="Q675"/>
    </row>
    <row r="676" spans="1:17" s="79" customFormat="1" ht="13.95" customHeight="1" thickTop="1">
      <c r="A676" s="77"/>
      <c r="B676" s="70"/>
      <c r="C676" s="71"/>
      <c r="D676" s="71"/>
      <c r="E676" s="71"/>
      <c r="F676" s="71"/>
      <c r="G676" s="71"/>
      <c r="H676" s="71"/>
      <c r="I676" s="83"/>
      <c r="J676" s="71"/>
      <c r="K676" s="71"/>
      <c r="L676" s="55"/>
    </row>
    <row r="677" spans="1:17" ht="13.95" customHeight="1">
      <c r="B677" t="s">
        <v>645</v>
      </c>
    </row>
    <row r="678" spans="1:17" ht="13.95" customHeight="1"/>
    <row r="679" spans="1:17" ht="13.95" customHeight="1">
      <c r="B679" s="406" t="s">
        <v>624</v>
      </c>
      <c r="C679" s="406" t="s">
        <v>579</v>
      </c>
      <c r="D679" s="406" t="s">
        <v>621</v>
      </c>
      <c r="E679" s="466" t="s">
        <v>625</v>
      </c>
      <c r="F679" s="405" t="s">
        <v>626</v>
      </c>
      <c r="G679" s="406" t="s">
        <v>622</v>
      </c>
      <c r="H679" s="406" t="s">
        <v>648</v>
      </c>
    </row>
    <row r="680" spans="1:17" ht="13.95" customHeight="1">
      <c r="B680" s="422" t="s">
        <v>61</v>
      </c>
      <c r="C680" s="422" t="s">
        <v>71</v>
      </c>
      <c r="D680" s="422" t="str">
        <f>INDEX(G644:G673,MATCH(E680,I644:I673,0))</f>
        <v>斗</v>
      </c>
      <c r="E680" s="420">
        <f>IF(I673&lt;0,IF(I672&lt;0,I671,I672),I673)</f>
        <v>3</v>
      </c>
      <c r="F680" s="421">
        <f>INDEX(J644:J673,MATCH(E680,I644:I673,0))</f>
        <v>19</v>
      </c>
      <c r="G680" s="519">
        <f>INDEX($H$459:$H$486,MATCH(D680,$G$459:$G$486,0))</f>
        <v>26.25</v>
      </c>
      <c r="H680" s="433" t="str">
        <f t="shared" ref="H680:H711" si="103">CONCATENATE(CHOOSE(MOD(I680,10)+1,"癸","甲","乙","丙","丁","戊","己","庚","辛","壬"),(CHOOSE(MOD(I680,12)+1,"亥","子","丑","寅","卯","辰","巳","午","未","申","酉","戌")))</f>
        <v>己卯</v>
      </c>
      <c r="I680" s="462">
        <f>$J$232</f>
        <v>16</v>
      </c>
    </row>
    <row r="681" spans="1:17" ht="13.95" customHeight="1">
      <c r="C681" s="515" t="s">
        <v>647</v>
      </c>
      <c r="D681" s="516" t="str">
        <f t="shared" ref="D681:D711" si="104">IF(E680+F680/蔀法+1&lt;G680,D680,INDEX($G$459:$G$488,MATCH(D680,$G$459:$G$488,0)+1))</f>
        <v>斗</v>
      </c>
      <c r="E681" s="321">
        <f>MOD(E680+1,INT(G680))</f>
        <v>4</v>
      </c>
      <c r="F681" s="517">
        <f t="shared" ref="F681:F711" si="105">IF(AND(D681="牛",D680="斗"),MOD(F680-19,蔀法),F680)</f>
        <v>19</v>
      </c>
      <c r="G681" s="520">
        <f>INDEX($H$459:$H$486,MATCH(D681,$G$459:$G$486,0))</f>
        <v>26.25</v>
      </c>
      <c r="H681" s="433" t="str">
        <f t="shared" si="103"/>
        <v>庚辰</v>
      </c>
      <c r="I681" s="462">
        <f>MOD(I680,60)+1</f>
        <v>17</v>
      </c>
    </row>
    <row r="682" spans="1:17" ht="13.95" customHeight="1">
      <c r="C682" s="515" t="s">
        <v>647</v>
      </c>
      <c r="D682" s="516" t="str">
        <f t="shared" si="104"/>
        <v>斗</v>
      </c>
      <c r="E682" s="321">
        <f t="shared" ref="E682:E711" si="106">MOD(E681+1,INT(G681))</f>
        <v>5</v>
      </c>
      <c r="F682" s="517">
        <f t="shared" si="105"/>
        <v>19</v>
      </c>
      <c r="G682" s="472">
        <f t="shared" ref="G682:G684" si="107">INDEX($H$459:$H$486,MATCH(D682,$G$459:$G$486,0))</f>
        <v>26.25</v>
      </c>
      <c r="H682" s="433" t="str">
        <f t="shared" si="103"/>
        <v>辛巳</v>
      </c>
      <c r="I682" s="462">
        <f t="shared" ref="I682:I699" si="108">MOD(I681,60)+1</f>
        <v>18</v>
      </c>
    </row>
    <row r="683" spans="1:17" ht="13.95" customHeight="1">
      <c r="C683" s="515" t="s">
        <v>647</v>
      </c>
      <c r="D683" s="516" t="str">
        <f t="shared" si="104"/>
        <v>斗</v>
      </c>
      <c r="E683" s="321">
        <f t="shared" si="106"/>
        <v>6</v>
      </c>
      <c r="F683" s="517">
        <f t="shared" si="105"/>
        <v>19</v>
      </c>
      <c r="G683" s="472">
        <f t="shared" si="107"/>
        <v>26.25</v>
      </c>
      <c r="H683" s="433" t="str">
        <f t="shared" si="103"/>
        <v>壬午</v>
      </c>
      <c r="I683" s="462">
        <f t="shared" si="108"/>
        <v>19</v>
      </c>
    </row>
    <row r="684" spans="1:17" ht="13.95" customHeight="1">
      <c r="C684" s="515" t="s">
        <v>647</v>
      </c>
      <c r="D684" s="516" t="str">
        <f t="shared" si="104"/>
        <v>斗</v>
      </c>
      <c r="E684" s="321">
        <f t="shared" si="106"/>
        <v>7</v>
      </c>
      <c r="F684" s="517">
        <f t="shared" si="105"/>
        <v>19</v>
      </c>
      <c r="G684" s="472">
        <f t="shared" si="107"/>
        <v>26.25</v>
      </c>
      <c r="H684" s="433" t="str">
        <f t="shared" si="103"/>
        <v>癸未</v>
      </c>
      <c r="I684" s="462">
        <f t="shared" si="108"/>
        <v>20</v>
      </c>
    </row>
    <row r="685" spans="1:17" ht="13.95" customHeight="1">
      <c r="C685" s="515" t="s">
        <v>647</v>
      </c>
      <c r="D685" s="516" t="str">
        <f t="shared" si="104"/>
        <v>斗</v>
      </c>
      <c r="E685" s="321">
        <f t="shared" si="106"/>
        <v>8</v>
      </c>
      <c r="F685" s="517">
        <f t="shared" si="105"/>
        <v>19</v>
      </c>
      <c r="G685" s="472">
        <f t="shared" ref="G685:G697" si="109">INDEX($H$459:$H$486,MATCH(D685,$G$459:$G$486,0))</f>
        <v>26.25</v>
      </c>
      <c r="H685" s="433" t="str">
        <f t="shared" si="103"/>
        <v>甲申</v>
      </c>
      <c r="I685" s="462">
        <f t="shared" si="108"/>
        <v>21</v>
      </c>
    </row>
    <row r="686" spans="1:17" ht="13.95" customHeight="1">
      <c r="C686" s="515" t="s">
        <v>647</v>
      </c>
      <c r="D686" s="516" t="str">
        <f t="shared" si="104"/>
        <v>斗</v>
      </c>
      <c r="E686" s="321">
        <f t="shared" si="106"/>
        <v>9</v>
      </c>
      <c r="F686" s="517">
        <f t="shared" si="105"/>
        <v>19</v>
      </c>
      <c r="G686" s="472">
        <f t="shared" si="109"/>
        <v>26.25</v>
      </c>
      <c r="H686" s="433" t="str">
        <f t="shared" si="103"/>
        <v>乙酉</v>
      </c>
      <c r="I686" s="462">
        <f t="shared" si="108"/>
        <v>22</v>
      </c>
    </row>
    <row r="687" spans="1:17" ht="13.95" customHeight="1">
      <c r="C687" s="515" t="s">
        <v>647</v>
      </c>
      <c r="D687" s="516" t="str">
        <f t="shared" si="104"/>
        <v>斗</v>
      </c>
      <c r="E687" s="321">
        <f t="shared" si="106"/>
        <v>10</v>
      </c>
      <c r="F687" s="517">
        <f t="shared" si="105"/>
        <v>19</v>
      </c>
      <c r="G687" s="472">
        <f t="shared" si="109"/>
        <v>26.25</v>
      </c>
      <c r="H687" s="433" t="str">
        <f t="shared" si="103"/>
        <v>丙戌</v>
      </c>
      <c r="I687" s="462">
        <f t="shared" si="108"/>
        <v>23</v>
      </c>
    </row>
    <row r="688" spans="1:17" ht="13.95" customHeight="1">
      <c r="C688" s="515" t="s">
        <v>647</v>
      </c>
      <c r="D688" s="516" t="str">
        <f t="shared" si="104"/>
        <v>斗</v>
      </c>
      <c r="E688" s="321">
        <f t="shared" si="106"/>
        <v>11</v>
      </c>
      <c r="F688" s="517">
        <f t="shared" si="105"/>
        <v>19</v>
      </c>
      <c r="G688" s="472">
        <f t="shared" si="109"/>
        <v>26.25</v>
      </c>
      <c r="H688" s="433" t="str">
        <f t="shared" si="103"/>
        <v>丁亥</v>
      </c>
      <c r="I688" s="462">
        <f t="shared" si="108"/>
        <v>24</v>
      </c>
    </row>
    <row r="689" spans="3:9" ht="13.95" customHeight="1">
      <c r="C689" s="515" t="s">
        <v>647</v>
      </c>
      <c r="D689" s="516" t="str">
        <f t="shared" si="104"/>
        <v>斗</v>
      </c>
      <c r="E689" s="321">
        <f t="shared" si="106"/>
        <v>12</v>
      </c>
      <c r="F689" s="517">
        <f t="shared" si="105"/>
        <v>19</v>
      </c>
      <c r="G689" s="472">
        <f t="shared" si="109"/>
        <v>26.25</v>
      </c>
      <c r="H689" s="433" t="str">
        <f t="shared" si="103"/>
        <v>戊子</v>
      </c>
      <c r="I689" s="462">
        <f t="shared" si="108"/>
        <v>25</v>
      </c>
    </row>
    <row r="690" spans="3:9" ht="13.95" customHeight="1">
      <c r="C690" s="515" t="s">
        <v>647</v>
      </c>
      <c r="D690" s="516" t="str">
        <f t="shared" si="104"/>
        <v>斗</v>
      </c>
      <c r="E690" s="321">
        <f t="shared" si="106"/>
        <v>13</v>
      </c>
      <c r="F690" s="517">
        <f t="shared" si="105"/>
        <v>19</v>
      </c>
      <c r="G690" s="472">
        <f t="shared" si="109"/>
        <v>26.25</v>
      </c>
      <c r="H690" s="433" t="str">
        <f t="shared" si="103"/>
        <v>己丑</v>
      </c>
      <c r="I690" s="462">
        <f t="shared" si="108"/>
        <v>26</v>
      </c>
    </row>
    <row r="691" spans="3:9" ht="13.95" customHeight="1">
      <c r="C691" s="515" t="s">
        <v>647</v>
      </c>
      <c r="D691" s="516" t="str">
        <f t="shared" si="104"/>
        <v>斗</v>
      </c>
      <c r="E691" s="321">
        <f t="shared" si="106"/>
        <v>14</v>
      </c>
      <c r="F691" s="517">
        <f t="shared" si="105"/>
        <v>19</v>
      </c>
      <c r="G691" s="472">
        <f t="shared" si="109"/>
        <v>26.25</v>
      </c>
      <c r="H691" s="433" t="str">
        <f t="shared" si="103"/>
        <v>庚寅</v>
      </c>
      <c r="I691" s="462">
        <f t="shared" si="108"/>
        <v>27</v>
      </c>
    </row>
    <row r="692" spans="3:9" ht="13.95" customHeight="1">
      <c r="C692" s="515" t="s">
        <v>647</v>
      </c>
      <c r="D692" s="516" t="str">
        <f t="shared" si="104"/>
        <v>斗</v>
      </c>
      <c r="E692" s="321">
        <f t="shared" si="106"/>
        <v>15</v>
      </c>
      <c r="F692" s="517">
        <f t="shared" si="105"/>
        <v>19</v>
      </c>
      <c r="G692" s="472">
        <f t="shared" si="109"/>
        <v>26.25</v>
      </c>
      <c r="H692" s="433" t="str">
        <f t="shared" si="103"/>
        <v>辛卯</v>
      </c>
      <c r="I692" s="462">
        <f t="shared" si="108"/>
        <v>28</v>
      </c>
    </row>
    <row r="693" spans="3:9" ht="13.95" customHeight="1">
      <c r="C693" s="515" t="s">
        <v>647</v>
      </c>
      <c r="D693" s="516" t="str">
        <f t="shared" si="104"/>
        <v>斗</v>
      </c>
      <c r="E693" s="321">
        <f t="shared" si="106"/>
        <v>16</v>
      </c>
      <c r="F693" s="517">
        <f t="shared" si="105"/>
        <v>19</v>
      </c>
      <c r="G693" s="472">
        <f t="shared" si="109"/>
        <v>26.25</v>
      </c>
      <c r="H693" s="433" t="str">
        <f t="shared" si="103"/>
        <v>壬辰</v>
      </c>
      <c r="I693" s="462">
        <f t="shared" si="108"/>
        <v>29</v>
      </c>
    </row>
    <row r="694" spans="3:9" ht="13.95" customHeight="1">
      <c r="C694" s="515" t="s">
        <v>647</v>
      </c>
      <c r="D694" s="516" t="str">
        <f t="shared" si="104"/>
        <v>斗</v>
      </c>
      <c r="E694" s="321">
        <f t="shared" si="106"/>
        <v>17</v>
      </c>
      <c r="F694" s="517">
        <f t="shared" si="105"/>
        <v>19</v>
      </c>
      <c r="G694" s="472">
        <f t="shared" si="109"/>
        <v>26.25</v>
      </c>
      <c r="H694" s="433" t="str">
        <f t="shared" si="103"/>
        <v>癸巳</v>
      </c>
      <c r="I694" s="462">
        <f t="shared" si="108"/>
        <v>30</v>
      </c>
    </row>
    <row r="695" spans="3:9" ht="13.95" customHeight="1">
      <c r="C695" s="515" t="s">
        <v>647</v>
      </c>
      <c r="D695" s="516" t="str">
        <f t="shared" si="104"/>
        <v>斗</v>
      </c>
      <c r="E695" s="321">
        <f t="shared" si="106"/>
        <v>18</v>
      </c>
      <c r="F695" s="517">
        <f t="shared" si="105"/>
        <v>19</v>
      </c>
      <c r="G695" s="472">
        <f t="shared" si="109"/>
        <v>26.25</v>
      </c>
      <c r="H695" s="433" t="str">
        <f t="shared" si="103"/>
        <v>甲午</v>
      </c>
      <c r="I695" s="462">
        <f t="shared" si="108"/>
        <v>31</v>
      </c>
    </row>
    <row r="696" spans="3:9" ht="13.95" customHeight="1">
      <c r="C696" s="515" t="s">
        <v>647</v>
      </c>
      <c r="D696" s="516" t="str">
        <f t="shared" si="104"/>
        <v>斗</v>
      </c>
      <c r="E696" s="321">
        <f t="shared" si="106"/>
        <v>19</v>
      </c>
      <c r="F696" s="517">
        <f t="shared" si="105"/>
        <v>19</v>
      </c>
      <c r="G696" s="472">
        <f t="shared" si="109"/>
        <v>26.25</v>
      </c>
      <c r="H696" s="433" t="str">
        <f t="shared" si="103"/>
        <v>乙未</v>
      </c>
      <c r="I696" s="462">
        <f t="shared" si="108"/>
        <v>32</v>
      </c>
    </row>
    <row r="697" spans="3:9" ht="13.95" customHeight="1">
      <c r="C697" s="515" t="s">
        <v>647</v>
      </c>
      <c r="D697" s="516" t="str">
        <f t="shared" si="104"/>
        <v>斗</v>
      </c>
      <c r="E697" s="321">
        <f t="shared" si="106"/>
        <v>20</v>
      </c>
      <c r="F697" s="517">
        <f t="shared" si="105"/>
        <v>19</v>
      </c>
      <c r="G697" s="472">
        <f t="shared" si="109"/>
        <v>26.25</v>
      </c>
      <c r="H697" s="433" t="str">
        <f t="shared" si="103"/>
        <v>丙申</v>
      </c>
      <c r="I697" s="462">
        <f t="shared" si="108"/>
        <v>33</v>
      </c>
    </row>
    <row r="698" spans="3:9" ht="13.95" customHeight="1">
      <c r="C698" s="515" t="s">
        <v>647</v>
      </c>
      <c r="D698" s="516" t="str">
        <f t="shared" si="104"/>
        <v>斗</v>
      </c>
      <c r="E698" s="321">
        <f t="shared" si="106"/>
        <v>21</v>
      </c>
      <c r="F698" s="517">
        <f t="shared" si="105"/>
        <v>19</v>
      </c>
      <c r="G698" s="472">
        <f t="shared" ref="G698:G699" si="110">INDEX($H$459:$H$486,MATCH(D698,$G$459:$G$486,0))</f>
        <v>26.25</v>
      </c>
      <c r="H698" s="433" t="str">
        <f t="shared" si="103"/>
        <v>丁酉</v>
      </c>
      <c r="I698" s="462">
        <f t="shared" si="108"/>
        <v>34</v>
      </c>
    </row>
    <row r="699" spans="3:9" ht="13.95" customHeight="1">
      <c r="C699" s="515" t="s">
        <v>647</v>
      </c>
      <c r="D699" s="516" t="str">
        <f t="shared" si="104"/>
        <v>斗</v>
      </c>
      <c r="E699" s="321">
        <f t="shared" si="106"/>
        <v>22</v>
      </c>
      <c r="F699" s="517">
        <f t="shared" si="105"/>
        <v>19</v>
      </c>
      <c r="G699" s="472">
        <f t="shared" si="110"/>
        <v>26.25</v>
      </c>
      <c r="H699" s="433" t="str">
        <f t="shared" si="103"/>
        <v>戊戌</v>
      </c>
      <c r="I699" s="462">
        <f t="shared" si="108"/>
        <v>35</v>
      </c>
    </row>
    <row r="700" spans="3:9" ht="13.95" customHeight="1">
      <c r="C700" s="515" t="s">
        <v>647</v>
      </c>
      <c r="D700" s="516" t="str">
        <f t="shared" si="104"/>
        <v>斗</v>
      </c>
      <c r="E700" s="321">
        <f t="shared" si="106"/>
        <v>23</v>
      </c>
      <c r="F700" s="517">
        <f t="shared" si="105"/>
        <v>19</v>
      </c>
      <c r="G700" s="472">
        <f t="shared" ref="G700:G703" si="111">INDEX($H$459:$H$486,MATCH(D700,$G$459:$G$486,0))</f>
        <v>26.25</v>
      </c>
      <c r="H700" s="433" t="str">
        <f t="shared" si="103"/>
        <v>己亥</v>
      </c>
      <c r="I700" s="462">
        <f t="shared" ref="I700:I703" si="112">MOD(I699,60)+1</f>
        <v>36</v>
      </c>
    </row>
    <row r="701" spans="3:9" ht="13.95" customHeight="1">
      <c r="C701" s="515" t="s">
        <v>647</v>
      </c>
      <c r="D701" s="516" t="str">
        <f t="shared" si="104"/>
        <v>斗</v>
      </c>
      <c r="E701" s="321">
        <f t="shared" si="106"/>
        <v>24</v>
      </c>
      <c r="F701" s="517">
        <f t="shared" si="105"/>
        <v>19</v>
      </c>
      <c r="G701" s="472">
        <f t="shared" si="111"/>
        <v>26.25</v>
      </c>
      <c r="H701" s="433" t="str">
        <f t="shared" si="103"/>
        <v>庚子</v>
      </c>
      <c r="I701" s="462">
        <f t="shared" si="112"/>
        <v>37</v>
      </c>
    </row>
    <row r="702" spans="3:9" ht="13.95" customHeight="1">
      <c r="C702" s="515" t="s">
        <v>647</v>
      </c>
      <c r="D702" s="516" t="str">
        <f t="shared" si="104"/>
        <v>斗</v>
      </c>
      <c r="E702" s="321">
        <f t="shared" si="106"/>
        <v>25</v>
      </c>
      <c r="F702" s="517">
        <f t="shared" si="105"/>
        <v>19</v>
      </c>
      <c r="G702" s="472">
        <f t="shared" si="111"/>
        <v>26.25</v>
      </c>
      <c r="H702" s="433" t="str">
        <f t="shared" si="103"/>
        <v>辛丑</v>
      </c>
      <c r="I702" s="462">
        <f t="shared" si="112"/>
        <v>38</v>
      </c>
    </row>
    <row r="703" spans="3:9" ht="13.95" customHeight="1">
      <c r="C703" s="515" t="s">
        <v>647</v>
      </c>
      <c r="D703" s="516" t="str">
        <f t="shared" si="104"/>
        <v>牛</v>
      </c>
      <c r="E703" s="321">
        <f t="shared" si="106"/>
        <v>0</v>
      </c>
      <c r="F703" s="517">
        <f t="shared" si="105"/>
        <v>0</v>
      </c>
      <c r="G703" s="472">
        <f t="shared" si="111"/>
        <v>8</v>
      </c>
      <c r="H703" s="433" t="str">
        <f t="shared" si="103"/>
        <v>壬寅</v>
      </c>
      <c r="I703" s="462">
        <f t="shared" si="112"/>
        <v>39</v>
      </c>
    </row>
    <row r="704" spans="3:9" ht="13.95" customHeight="1">
      <c r="C704" s="515" t="s">
        <v>647</v>
      </c>
      <c r="D704" s="516" t="str">
        <f t="shared" si="104"/>
        <v>牛</v>
      </c>
      <c r="E704" s="321">
        <f t="shared" si="106"/>
        <v>1</v>
      </c>
      <c r="F704" s="517">
        <f t="shared" si="105"/>
        <v>0</v>
      </c>
      <c r="G704" s="472">
        <f t="shared" ref="G704:G709" si="113">INDEX($H$459:$H$486,MATCH(D704,$G$459:$G$486,0))</f>
        <v>8</v>
      </c>
      <c r="H704" s="433" t="str">
        <f t="shared" si="103"/>
        <v>癸卯</v>
      </c>
      <c r="I704" s="462">
        <f t="shared" ref="I704:I709" si="114">MOD(I703,60)+1</f>
        <v>40</v>
      </c>
    </row>
    <row r="705" spans="1:12" ht="13.95" customHeight="1">
      <c r="C705" s="515" t="s">
        <v>647</v>
      </c>
      <c r="D705" s="516" t="str">
        <f t="shared" si="104"/>
        <v>牛</v>
      </c>
      <c r="E705" s="321">
        <f t="shared" si="106"/>
        <v>2</v>
      </c>
      <c r="F705" s="517">
        <f t="shared" si="105"/>
        <v>0</v>
      </c>
      <c r="G705" s="472">
        <f t="shared" si="113"/>
        <v>8</v>
      </c>
      <c r="H705" s="433" t="str">
        <f t="shared" si="103"/>
        <v>甲辰</v>
      </c>
      <c r="I705" s="462">
        <f t="shared" si="114"/>
        <v>41</v>
      </c>
    </row>
    <row r="706" spans="1:12" ht="13.95" customHeight="1">
      <c r="C706" s="515" t="s">
        <v>647</v>
      </c>
      <c r="D706" s="516" t="str">
        <f t="shared" si="104"/>
        <v>牛</v>
      </c>
      <c r="E706" s="321">
        <f t="shared" si="106"/>
        <v>3</v>
      </c>
      <c r="F706" s="517">
        <f t="shared" si="105"/>
        <v>0</v>
      </c>
      <c r="G706" s="472">
        <f t="shared" si="113"/>
        <v>8</v>
      </c>
      <c r="H706" s="433" t="str">
        <f t="shared" si="103"/>
        <v>乙巳</v>
      </c>
      <c r="I706" s="462">
        <f t="shared" si="114"/>
        <v>42</v>
      </c>
    </row>
    <row r="707" spans="1:12" ht="13.95" customHeight="1">
      <c r="C707" s="515" t="s">
        <v>647</v>
      </c>
      <c r="D707" s="516" t="str">
        <f t="shared" si="104"/>
        <v>牛</v>
      </c>
      <c r="E707" s="321">
        <f t="shared" si="106"/>
        <v>4</v>
      </c>
      <c r="F707" s="517">
        <f t="shared" si="105"/>
        <v>0</v>
      </c>
      <c r="G707" s="472">
        <f t="shared" si="113"/>
        <v>8</v>
      </c>
      <c r="H707" s="433" t="str">
        <f t="shared" si="103"/>
        <v>丙午</v>
      </c>
      <c r="I707" s="462">
        <f t="shared" si="114"/>
        <v>43</v>
      </c>
    </row>
    <row r="708" spans="1:12" ht="13.95" customHeight="1">
      <c r="C708" s="515" t="s">
        <v>647</v>
      </c>
      <c r="D708" s="516" t="str">
        <f t="shared" si="104"/>
        <v>牛</v>
      </c>
      <c r="E708" s="321">
        <f t="shared" si="106"/>
        <v>5</v>
      </c>
      <c r="F708" s="517">
        <f t="shared" si="105"/>
        <v>0</v>
      </c>
      <c r="G708" s="472">
        <f t="shared" si="113"/>
        <v>8</v>
      </c>
      <c r="H708" s="433" t="str">
        <f t="shared" si="103"/>
        <v>丁未</v>
      </c>
      <c r="I708" s="462">
        <f t="shared" si="114"/>
        <v>44</v>
      </c>
    </row>
    <row r="709" spans="1:12" ht="13.95" customHeight="1">
      <c r="C709" s="515" t="s">
        <v>647</v>
      </c>
      <c r="D709" s="516" t="str">
        <f t="shared" si="104"/>
        <v>牛</v>
      </c>
      <c r="E709" s="321">
        <f t="shared" si="106"/>
        <v>6</v>
      </c>
      <c r="F709" s="517">
        <f t="shared" si="105"/>
        <v>0</v>
      </c>
      <c r="G709" s="472">
        <f t="shared" si="113"/>
        <v>8</v>
      </c>
      <c r="H709" s="433" t="str">
        <f t="shared" si="103"/>
        <v>戊申</v>
      </c>
      <c r="I709" s="462">
        <f t="shared" si="114"/>
        <v>45</v>
      </c>
    </row>
    <row r="710" spans="1:12" ht="13.95" customHeight="1">
      <c r="C710" s="515" t="s">
        <v>647</v>
      </c>
      <c r="D710" s="516" t="str">
        <f t="shared" si="104"/>
        <v>牛</v>
      </c>
      <c r="E710" s="321">
        <f t="shared" si="106"/>
        <v>7</v>
      </c>
      <c r="F710" s="517">
        <f t="shared" si="105"/>
        <v>0</v>
      </c>
      <c r="G710" s="472">
        <f t="shared" ref="G710:G711" si="115">INDEX($H$459:$H$486,MATCH(D710,$G$459:$G$486,0))</f>
        <v>8</v>
      </c>
      <c r="H710" s="433" t="str">
        <f t="shared" si="103"/>
        <v>己酉</v>
      </c>
      <c r="I710" s="462">
        <f t="shared" ref="I710:I711" si="116">MOD(I709,60)+1</f>
        <v>46</v>
      </c>
    </row>
    <row r="711" spans="1:12" ht="13.95" customHeight="1">
      <c r="C711" s="515" t="s">
        <v>647</v>
      </c>
      <c r="D711" s="516" t="str">
        <f t="shared" si="104"/>
        <v>女</v>
      </c>
      <c r="E711" s="321">
        <f t="shared" si="106"/>
        <v>0</v>
      </c>
      <c r="F711" s="517">
        <f t="shared" si="105"/>
        <v>0</v>
      </c>
      <c r="G711" s="472">
        <f t="shared" si="115"/>
        <v>12</v>
      </c>
      <c r="H711" s="433" t="str">
        <f t="shared" si="103"/>
        <v>庚戌</v>
      </c>
      <c r="I711" s="462">
        <f t="shared" si="116"/>
        <v>47</v>
      </c>
    </row>
    <row r="712" spans="1:12" ht="13.95" customHeight="1">
      <c r="C712" s="515" t="s">
        <v>108</v>
      </c>
      <c r="D712" s="516" t="s">
        <v>108</v>
      </c>
      <c r="E712" s="321" t="s">
        <v>108</v>
      </c>
      <c r="F712" s="521" t="s">
        <v>108</v>
      </c>
      <c r="G712" s="518" t="s">
        <v>108</v>
      </c>
      <c r="H712" s="321" t="s">
        <v>108</v>
      </c>
      <c r="I712" t="s">
        <v>108</v>
      </c>
    </row>
    <row r="713" spans="1:12" s="79" customFormat="1" ht="13.95" customHeight="1" thickBot="1">
      <c r="A713" s="77"/>
      <c r="B713" s="69"/>
      <c r="C713" s="10"/>
      <c r="D713" s="10"/>
      <c r="E713" s="10"/>
      <c r="F713" s="10"/>
      <c r="G713" s="10"/>
      <c r="H713" s="10"/>
      <c r="I713" s="56"/>
      <c r="J713" s="10"/>
      <c r="K713" s="10"/>
    </row>
    <row r="714" spans="1:12" s="79" customFormat="1" ht="13.95" customHeight="1">
      <c r="A714" s="77"/>
      <c r="B714" s="70"/>
      <c r="C714" s="71"/>
      <c r="D714" s="71"/>
      <c r="E714" s="71"/>
      <c r="F714" s="71"/>
      <c r="G714" s="71"/>
      <c r="H714" s="71"/>
      <c r="I714" s="83"/>
      <c r="J714" s="71"/>
      <c r="K714" s="71"/>
    </row>
    <row r="715" spans="1:12" s="524" customFormat="1" ht="12" customHeight="1">
      <c r="A715" s="523" t="s">
        <v>649</v>
      </c>
      <c r="B715" s="905" t="s">
        <v>650</v>
      </c>
      <c r="C715" s="905"/>
      <c r="D715" s="905"/>
      <c r="E715" s="905"/>
      <c r="F715" s="905"/>
      <c r="G715" s="905"/>
      <c r="I715" s="453"/>
      <c r="J715" s="453"/>
      <c r="K715" s="453"/>
      <c r="L715" s="453"/>
    </row>
    <row r="716" spans="1:12" s="79" customFormat="1" ht="12" customHeight="1">
      <c r="A716" s="452" t="s">
        <v>651</v>
      </c>
      <c r="B716" t="s">
        <v>652</v>
      </c>
      <c r="C716"/>
      <c r="D716"/>
      <c r="E716"/>
      <c r="F716"/>
      <c r="G716"/>
      <c r="H716" s="422" t="str">
        <f>D494</f>
        <v>斗</v>
      </c>
      <c r="I716" s="525">
        <f t="shared" ref="I716:J716" si="117">E494</f>
        <v>4</v>
      </c>
      <c r="J716" s="526">
        <f t="shared" si="117"/>
        <v>144</v>
      </c>
      <c r="K716"/>
      <c r="L716"/>
    </row>
    <row r="717" spans="1:12" s="79" customFormat="1" ht="12" customHeight="1">
      <c r="A717" s="452"/>
      <c r="B717"/>
      <c r="C717"/>
      <c r="D717"/>
      <c r="E717"/>
      <c r="F717"/>
      <c r="G717" s="321"/>
      <c r="H717" s="527"/>
      <c r="I717" s="422" t="s">
        <v>655</v>
      </c>
      <c r="J717" s="526">
        <f>積日小餘</f>
        <v>849</v>
      </c>
      <c r="K717"/>
      <c r="L717"/>
    </row>
    <row r="718" spans="1:12" s="79" customFormat="1" ht="12" customHeight="1">
      <c r="A718" s="452"/>
      <c r="B718"/>
      <c r="C718"/>
      <c r="D718"/>
      <c r="E718"/>
      <c r="F718"/>
      <c r="G718" s="321"/>
      <c r="H718" s="321" t="str">
        <f>IF(I716+(J716-J717)/蔀月&gt;0,H716,INDEX($G$459:$G$488,MATCH(H716,$G$459:$G$488,0)-1))</f>
        <v>斗</v>
      </c>
      <c r="I718">
        <f>IF(H718=H716,INT(I716+(J716-J717)/蔀月),INT(INDEX($H$459:$H$488,MATCH(H718,$G$459:$G$488,0)-1))-1)</f>
        <v>3</v>
      </c>
      <c r="J718" s="462">
        <f>MOD(J716-J717,蔀月)</f>
        <v>235</v>
      </c>
      <c r="K718"/>
      <c r="L718"/>
    </row>
    <row r="719" spans="1:12" s="79" customFormat="1" ht="12" customHeight="1">
      <c r="A719" s="77"/>
      <c r="B719"/>
      <c r="C719" s="80"/>
      <c r="D719" s="80"/>
      <c r="E719" s="80"/>
      <c r="F719" s="80"/>
      <c r="G719" s="80"/>
      <c r="I719"/>
      <c r="J719"/>
      <c r="K719"/>
      <c r="L719"/>
    </row>
    <row r="720" spans="1:12" s="79" customFormat="1" ht="12" customHeight="1">
      <c r="A720" s="77"/>
      <c r="B720" t="s">
        <v>653</v>
      </c>
      <c r="C720" s="80"/>
      <c r="D720" s="80"/>
      <c r="E720" s="80"/>
      <c r="F720" s="80"/>
      <c r="G720" s="80"/>
      <c r="I720">
        <f>INT(J718/235)</f>
        <v>1</v>
      </c>
      <c r="J720" s="462">
        <f>MOD(J718,235)</f>
        <v>0</v>
      </c>
      <c r="K720"/>
      <c r="L720"/>
    </row>
    <row r="721" spans="1:16" s="79" customFormat="1" ht="12" customHeight="1">
      <c r="A721" s="77"/>
      <c r="B721" t="s">
        <v>654</v>
      </c>
      <c r="C721" s="80"/>
      <c r="D721" s="80"/>
      <c r="E721" s="80"/>
      <c r="F721" s="80"/>
      <c r="G721" s="80"/>
      <c r="I721">
        <f>I720*19</f>
        <v>19</v>
      </c>
      <c r="J721"/>
      <c r="K721"/>
      <c r="L721"/>
    </row>
    <row r="722" spans="1:16" s="79" customFormat="1" ht="12" customHeight="1">
      <c r="A722" s="77"/>
      <c r="B722"/>
      <c r="C722" s="80"/>
      <c r="D722" s="80"/>
      <c r="E722" s="80"/>
      <c r="F722" s="80"/>
      <c r="G722" s="80"/>
      <c r="I722"/>
      <c r="J722"/>
      <c r="K722"/>
      <c r="L722"/>
    </row>
    <row r="723" spans="1:16" s="451" customFormat="1" ht="12" customHeight="1">
      <c r="A723" s="449" t="s">
        <v>656</v>
      </c>
      <c r="B723" s="450" t="s">
        <v>657</v>
      </c>
    </row>
    <row r="724" spans="1:16" s="79" customFormat="1" ht="12" customHeight="1">
      <c r="A724" s="452" t="s">
        <v>658</v>
      </c>
      <c r="B724" t="s">
        <v>641</v>
      </c>
      <c r="C724"/>
      <c r="D724"/>
      <c r="E724"/>
      <c r="F724"/>
      <c r="G724"/>
      <c r="H724" s="82"/>
      <c r="I724">
        <f>積日</f>
        <v>23358</v>
      </c>
      <c r="J724" s="82"/>
      <c r="K724" s="82"/>
      <c r="M724"/>
      <c r="N724"/>
      <c r="O724"/>
      <c r="P724"/>
    </row>
    <row r="725" spans="1:16" ht="12" customHeight="1"/>
    <row r="726" spans="1:16" ht="12" customHeight="1">
      <c r="B726" t="s">
        <v>660</v>
      </c>
      <c r="I726">
        <f>I724*月周</f>
        <v>23731728</v>
      </c>
    </row>
    <row r="727" spans="1:16" ht="12" customHeight="1">
      <c r="B727" t="s">
        <v>643</v>
      </c>
      <c r="I727">
        <f>INT(I726/蔀日)</f>
        <v>854</v>
      </c>
      <c r="J727" s="462">
        <f>MOD(I726,蔀日)</f>
        <v>25542</v>
      </c>
    </row>
    <row r="728" spans="1:16" ht="12" customHeight="1">
      <c r="B728" t="s">
        <v>644</v>
      </c>
      <c r="I728">
        <f>INT(J727/蔀法)</f>
        <v>336</v>
      </c>
      <c r="J728" s="462">
        <f>MOD(J727,蔀法)</f>
        <v>6</v>
      </c>
    </row>
    <row r="729" spans="1:16" ht="12" customHeight="1"/>
    <row r="730" spans="1:16" ht="12" customHeight="1">
      <c r="B730" t="s">
        <v>661</v>
      </c>
      <c r="I730" s="34">
        <f>月夜半積度+21+IF(J730&lt;月夜半積度餘分,1)</f>
        <v>357</v>
      </c>
      <c r="J730" s="319">
        <f>MOD(月夜半積度餘分+19,蔀法)</f>
        <v>25</v>
      </c>
    </row>
    <row r="731" spans="1:16" ht="12" customHeight="1">
      <c r="B731" t="s">
        <v>659</v>
      </c>
    </row>
    <row r="732" spans="1:16" ht="12" customHeight="1">
      <c r="G732" s="405" t="s">
        <v>621</v>
      </c>
      <c r="H732" s="405" t="s">
        <v>622</v>
      </c>
      <c r="I732" s="406" t="s">
        <v>623</v>
      </c>
    </row>
    <row r="733" spans="1:16" ht="12" customHeight="1">
      <c r="G733" t="s">
        <v>404</v>
      </c>
      <c r="H733" s="461">
        <f>Tables!$D$4</f>
        <v>26.25</v>
      </c>
      <c r="I733" s="420">
        <f>I730</f>
        <v>357</v>
      </c>
      <c r="J733" s="421">
        <f>J730</f>
        <v>25</v>
      </c>
    </row>
    <row r="734" spans="1:16" ht="12" customHeight="1">
      <c r="G734" t="s">
        <v>426</v>
      </c>
      <c r="H734" s="461">
        <f>Tables!$D$5</f>
        <v>8</v>
      </c>
      <c r="I734" s="463">
        <f>I733-INT(H733)-IF(J734&gt;J733,1)</f>
        <v>331</v>
      </c>
      <c r="J734" s="464">
        <f>MOD(J733-19,蔀法)</f>
        <v>6</v>
      </c>
    </row>
    <row r="735" spans="1:16" ht="12" customHeight="1">
      <c r="G735" t="s">
        <v>408</v>
      </c>
      <c r="H735" s="461">
        <f>Tables!$D$6</f>
        <v>12</v>
      </c>
      <c r="I735" s="34">
        <f>I734-H734</f>
        <v>323</v>
      </c>
      <c r="J735" s="319">
        <f>J734</f>
        <v>6</v>
      </c>
    </row>
    <row r="736" spans="1:16" ht="12" customHeight="1">
      <c r="G736" t="s">
        <v>411</v>
      </c>
      <c r="H736" s="461">
        <f>Tables!$D$7</f>
        <v>10</v>
      </c>
      <c r="I736" s="34">
        <f t="shared" ref="I736:I754" si="118">I735-H735</f>
        <v>311</v>
      </c>
      <c r="J736" s="319">
        <f t="shared" ref="J736:J754" si="119">J735</f>
        <v>6</v>
      </c>
    </row>
    <row r="737" spans="7:10" ht="12" customHeight="1">
      <c r="G737" t="s">
        <v>414</v>
      </c>
      <c r="H737" s="461">
        <f>Tables!$D$8</f>
        <v>17</v>
      </c>
      <c r="I737" s="34">
        <f t="shared" si="118"/>
        <v>301</v>
      </c>
      <c r="J737" s="319">
        <f t="shared" si="119"/>
        <v>6</v>
      </c>
    </row>
    <row r="738" spans="7:10" ht="12" customHeight="1">
      <c r="G738" t="s">
        <v>417</v>
      </c>
      <c r="H738" s="461">
        <f>Tables!$D$9</f>
        <v>16</v>
      </c>
      <c r="I738" s="34">
        <f t="shared" si="118"/>
        <v>284</v>
      </c>
      <c r="J738" s="319">
        <f t="shared" si="119"/>
        <v>6</v>
      </c>
    </row>
    <row r="739" spans="7:10" ht="12" customHeight="1">
      <c r="G739" t="s">
        <v>420</v>
      </c>
      <c r="H739" s="461">
        <f>Tables!$D$10</f>
        <v>9</v>
      </c>
      <c r="I739" s="34">
        <f t="shared" si="118"/>
        <v>268</v>
      </c>
      <c r="J739" s="319">
        <f t="shared" si="119"/>
        <v>6</v>
      </c>
    </row>
    <row r="740" spans="7:10" ht="12" customHeight="1">
      <c r="G740" t="s">
        <v>405</v>
      </c>
      <c r="H740" s="461">
        <f>Tables!$D$11</f>
        <v>16</v>
      </c>
      <c r="I740" s="34">
        <f t="shared" si="118"/>
        <v>259</v>
      </c>
      <c r="J740" s="319">
        <f t="shared" si="119"/>
        <v>6</v>
      </c>
    </row>
    <row r="741" spans="7:10" ht="12" customHeight="1">
      <c r="G741" t="s">
        <v>409</v>
      </c>
      <c r="H741" s="461">
        <f>Tables!$D$12</f>
        <v>12</v>
      </c>
      <c r="I741" s="34">
        <f t="shared" si="118"/>
        <v>243</v>
      </c>
      <c r="J741" s="319">
        <f t="shared" si="119"/>
        <v>6</v>
      </c>
    </row>
    <row r="742" spans="7:10" ht="12" customHeight="1">
      <c r="G742" t="s">
        <v>412</v>
      </c>
      <c r="H742" s="461">
        <f>Tables!$D$13</f>
        <v>14</v>
      </c>
      <c r="I742" s="34">
        <f t="shared" si="118"/>
        <v>231</v>
      </c>
      <c r="J742" s="319">
        <f t="shared" si="119"/>
        <v>6</v>
      </c>
    </row>
    <row r="743" spans="7:10" ht="12" customHeight="1">
      <c r="G743" t="s">
        <v>424</v>
      </c>
      <c r="H743" s="461">
        <f>Tables!$D$14</f>
        <v>11</v>
      </c>
      <c r="I743" s="34">
        <f t="shared" si="118"/>
        <v>217</v>
      </c>
      <c r="J743" s="319">
        <f t="shared" si="119"/>
        <v>6</v>
      </c>
    </row>
    <row r="744" spans="7:10" ht="12" customHeight="1">
      <c r="G744" t="s">
        <v>415</v>
      </c>
      <c r="H744" s="461">
        <f>Tables!$D$15</f>
        <v>16</v>
      </c>
      <c r="I744" s="34">
        <f t="shared" si="118"/>
        <v>206</v>
      </c>
      <c r="J744" s="319">
        <f t="shared" si="119"/>
        <v>6</v>
      </c>
    </row>
    <row r="745" spans="7:10" ht="12" customHeight="1">
      <c r="G745" t="s">
        <v>619</v>
      </c>
      <c r="H745" s="461">
        <f>Tables!$D$16</f>
        <v>2</v>
      </c>
      <c r="I745" s="34">
        <f t="shared" si="118"/>
        <v>190</v>
      </c>
      <c r="J745" s="319">
        <f t="shared" si="119"/>
        <v>6</v>
      </c>
    </row>
    <row r="746" spans="7:10" ht="12" customHeight="1">
      <c r="G746" t="s">
        <v>418</v>
      </c>
      <c r="H746" s="461">
        <f>Tables!$D$17</f>
        <v>9</v>
      </c>
      <c r="I746" s="34">
        <f t="shared" si="118"/>
        <v>188</v>
      </c>
      <c r="J746" s="319">
        <f t="shared" si="119"/>
        <v>6</v>
      </c>
    </row>
    <row r="747" spans="7:10" ht="12" customHeight="1">
      <c r="G747" t="s">
        <v>421</v>
      </c>
      <c r="H747" s="461">
        <f>Tables!$D$18</f>
        <v>33</v>
      </c>
      <c r="I747" s="34">
        <f t="shared" si="118"/>
        <v>179</v>
      </c>
      <c r="J747" s="319">
        <f t="shared" si="119"/>
        <v>6</v>
      </c>
    </row>
    <row r="748" spans="7:10" ht="12" customHeight="1">
      <c r="G748" t="s">
        <v>422</v>
      </c>
      <c r="H748" s="461">
        <f>Tables!$D$19</f>
        <v>4</v>
      </c>
      <c r="I748" s="34">
        <f t="shared" si="118"/>
        <v>146</v>
      </c>
      <c r="J748" s="319">
        <f t="shared" si="119"/>
        <v>6</v>
      </c>
    </row>
    <row r="749" spans="7:10" ht="12" customHeight="1">
      <c r="G749" t="s">
        <v>429</v>
      </c>
      <c r="H749" s="461">
        <f>Tables!$D$20</f>
        <v>15</v>
      </c>
      <c r="I749" s="34">
        <f t="shared" si="118"/>
        <v>142</v>
      </c>
      <c r="J749" s="319">
        <f t="shared" si="119"/>
        <v>6</v>
      </c>
    </row>
    <row r="750" spans="7:10" ht="12" customHeight="1">
      <c r="G750" t="s">
        <v>423</v>
      </c>
      <c r="H750" s="461">
        <f>Tables!$D$21</f>
        <v>7</v>
      </c>
      <c r="I750" s="34">
        <f t="shared" si="118"/>
        <v>127</v>
      </c>
      <c r="J750" s="319">
        <f t="shared" si="119"/>
        <v>6</v>
      </c>
    </row>
    <row r="751" spans="7:10" ht="12" customHeight="1">
      <c r="G751" t="s">
        <v>425</v>
      </c>
      <c r="H751" s="461">
        <f>Tables!$D$22</f>
        <v>18</v>
      </c>
      <c r="I751" s="34">
        <f t="shared" si="118"/>
        <v>120</v>
      </c>
      <c r="J751" s="319">
        <f t="shared" si="119"/>
        <v>6</v>
      </c>
    </row>
    <row r="752" spans="7:10" ht="12" customHeight="1">
      <c r="G752" t="s">
        <v>427</v>
      </c>
      <c r="H752" s="461">
        <f>Tables!$D$23</f>
        <v>18</v>
      </c>
      <c r="I752" s="34">
        <f t="shared" si="118"/>
        <v>102</v>
      </c>
      <c r="J752" s="319">
        <f t="shared" si="119"/>
        <v>6</v>
      </c>
    </row>
    <row r="753" spans="1:16" ht="12" customHeight="1">
      <c r="G753" t="s">
        <v>430</v>
      </c>
      <c r="H753" s="461">
        <f>Tables!$D$24</f>
        <v>17</v>
      </c>
      <c r="I753" s="34">
        <f t="shared" si="118"/>
        <v>84</v>
      </c>
      <c r="J753" s="319">
        <f t="shared" si="119"/>
        <v>6</v>
      </c>
    </row>
    <row r="754" spans="1:16" ht="12" customHeight="1">
      <c r="G754" t="s">
        <v>428</v>
      </c>
      <c r="H754" s="461">
        <f>Tables!$D$25</f>
        <v>12</v>
      </c>
      <c r="I754" s="34">
        <f t="shared" si="118"/>
        <v>67</v>
      </c>
      <c r="J754" s="319">
        <f t="shared" si="119"/>
        <v>6</v>
      </c>
    </row>
    <row r="755" spans="1:16" ht="12" customHeight="1">
      <c r="G755" t="s">
        <v>406</v>
      </c>
      <c r="H755" s="461">
        <f>Tables!$D$26</f>
        <v>9</v>
      </c>
      <c r="I755" s="34">
        <f>I754-H754</f>
        <v>55</v>
      </c>
      <c r="J755" s="319">
        <f>J754</f>
        <v>6</v>
      </c>
    </row>
    <row r="756" spans="1:16" ht="12" customHeight="1">
      <c r="G756" t="s">
        <v>410</v>
      </c>
      <c r="H756" s="461">
        <f>Tables!$D$27</f>
        <v>15</v>
      </c>
      <c r="I756" s="34">
        <f t="shared" ref="I756:I761" si="120">I755-H755</f>
        <v>46</v>
      </c>
      <c r="J756" s="319">
        <f t="shared" ref="J756:J760" si="121">J755</f>
        <v>6</v>
      </c>
    </row>
    <row r="757" spans="1:16" ht="12" customHeight="1">
      <c r="G757" t="s">
        <v>620</v>
      </c>
      <c r="H757" s="461">
        <f>Tables!$D$28</f>
        <v>5</v>
      </c>
      <c r="I757" s="34">
        <f t="shared" si="120"/>
        <v>31</v>
      </c>
      <c r="J757" s="319">
        <f t="shared" si="121"/>
        <v>6</v>
      </c>
    </row>
    <row r="758" spans="1:16" ht="12" customHeight="1">
      <c r="G758" t="s">
        <v>413</v>
      </c>
      <c r="H758" s="461">
        <f>Tables!$D$29</f>
        <v>5</v>
      </c>
      <c r="I758" s="34">
        <f t="shared" si="120"/>
        <v>26</v>
      </c>
      <c r="J758" s="319">
        <f t="shared" si="121"/>
        <v>6</v>
      </c>
    </row>
    <row r="759" spans="1:16" ht="12" customHeight="1">
      <c r="G759" t="s">
        <v>416</v>
      </c>
      <c r="H759" s="461">
        <f>Tables!$D$30</f>
        <v>18</v>
      </c>
      <c r="I759" s="34">
        <f t="shared" si="120"/>
        <v>21</v>
      </c>
      <c r="J759" s="319">
        <f t="shared" si="121"/>
        <v>6</v>
      </c>
    </row>
    <row r="760" spans="1:16" ht="12" customHeight="1">
      <c r="G760" t="s">
        <v>419</v>
      </c>
      <c r="H760" s="461">
        <f>Tables!$D$31</f>
        <v>11</v>
      </c>
      <c r="I760">
        <f t="shared" si="120"/>
        <v>3</v>
      </c>
      <c r="J760" s="462">
        <f t="shared" si="121"/>
        <v>6</v>
      </c>
    </row>
    <row r="761" spans="1:16" ht="12" customHeight="1">
      <c r="G761" t="s">
        <v>404</v>
      </c>
      <c r="H761" s="461">
        <f>Tables!$D$32</f>
        <v>26.25</v>
      </c>
      <c r="I761">
        <f t="shared" si="120"/>
        <v>-8</v>
      </c>
      <c r="J761" s="462">
        <f>J760</f>
        <v>6</v>
      </c>
    </row>
    <row r="762" spans="1:16" ht="12" customHeight="1">
      <c r="G762" t="s">
        <v>426</v>
      </c>
      <c r="H762" s="461">
        <f>H734</f>
        <v>8</v>
      </c>
      <c r="I762">
        <f>I761-INT(H761)-IF(J762&gt;J761,1)</f>
        <v>-35</v>
      </c>
      <c r="J762" s="462">
        <f>MOD(J761-19,蔀法)</f>
        <v>63</v>
      </c>
    </row>
    <row r="763" spans="1:16" s="79" customFormat="1" ht="12" customHeight="1" thickBot="1">
      <c r="A763" s="77"/>
      <c r="B763" s="69"/>
      <c r="C763" s="10"/>
      <c r="D763" s="10"/>
      <c r="E763" s="10"/>
      <c r="F763" s="10"/>
      <c r="G763" s="10"/>
      <c r="H763" s="10"/>
      <c r="I763" s="56"/>
      <c r="J763" s="10"/>
      <c r="K763" s="10"/>
      <c r="M763"/>
      <c r="N763"/>
      <c r="O763"/>
      <c r="P763"/>
    </row>
    <row r="764" spans="1:16" s="79" customFormat="1" ht="12" customHeight="1" thickTop="1">
      <c r="A764" s="77"/>
      <c r="B764" s="70"/>
      <c r="C764" s="71"/>
      <c r="D764" s="71"/>
      <c r="E764" s="71"/>
      <c r="F764" s="71"/>
      <c r="G764" s="71"/>
      <c r="H764" s="71"/>
      <c r="I764" s="83"/>
      <c r="J764" s="71"/>
      <c r="K764" s="71"/>
      <c r="M764"/>
      <c r="N764"/>
      <c r="O764"/>
      <c r="P764"/>
    </row>
    <row r="765" spans="1:16" s="79" customFormat="1" ht="12" customHeight="1">
      <c r="A765" s="77"/>
      <c r="B765" s="84" t="s">
        <v>109</v>
      </c>
      <c r="C765" s="80"/>
      <c r="D765" s="80"/>
      <c r="E765" s="80"/>
      <c r="F765" s="80"/>
      <c r="G765"/>
      <c r="H765"/>
      <c r="I765"/>
      <c r="J765"/>
      <c r="K765"/>
      <c r="M765"/>
      <c r="N765"/>
      <c r="O765"/>
      <c r="P765"/>
    </row>
    <row r="766" spans="1:16" ht="12" customHeight="1"/>
    <row r="767" spans="1:16" ht="55.2" customHeight="1">
      <c r="B767" s="871" t="s">
        <v>740</v>
      </c>
      <c r="C767" s="871"/>
      <c r="D767" s="871"/>
      <c r="E767" s="871"/>
      <c r="F767" s="871"/>
      <c r="G767" s="871"/>
    </row>
    <row r="768" spans="1:16" ht="13.2" customHeight="1"/>
    <row r="769" spans="2:11" ht="13.2" customHeight="1">
      <c r="B769" s="544" t="s">
        <v>624</v>
      </c>
      <c r="C769" s="468" t="s">
        <v>579</v>
      </c>
      <c r="D769" s="468" t="s">
        <v>621</v>
      </c>
      <c r="E769" s="545" t="s">
        <v>625</v>
      </c>
      <c r="F769" s="469" t="s">
        <v>626</v>
      </c>
      <c r="G769" s="468" t="s">
        <v>622</v>
      </c>
      <c r="H769" s="468" t="s">
        <v>648</v>
      </c>
      <c r="I769" s="546"/>
      <c r="J769" s="468" t="s">
        <v>662</v>
      </c>
      <c r="K769" s="547" t="s">
        <v>663</v>
      </c>
    </row>
    <row r="770" spans="2:11" ht="13.2" customHeight="1">
      <c r="B770" s="531" t="s">
        <v>61</v>
      </c>
      <c r="C770" s="430" t="s">
        <v>71</v>
      </c>
      <c r="D770" s="430" t="str">
        <f>INDEX(G733:G762,MATCH(E770,I733:I762,0))</f>
        <v>箕</v>
      </c>
      <c r="E770" s="428">
        <f>IF(I762&lt;0,IF(I761&lt;0,IF(I760&lt;0,I759,I760),I761),I762)</f>
        <v>3</v>
      </c>
      <c r="F770" s="429">
        <f>INDEX(J733:J762,MATCH(E770,I733:I762,0))</f>
        <v>6</v>
      </c>
      <c r="G770" s="520">
        <f>INDEX($H$459:$H$486,MATCH(D770,$G$459:$G$486,0))</f>
        <v>11</v>
      </c>
      <c r="H770" s="433" t="str">
        <f t="shared" ref="H770:H784" si="122">CONCATENATE(CHOOSE(MOD(I770,10)+1,"癸","甲","乙","丙","丁","戊","己","庚","辛","壬"),(CHOOSE(MOD(I770,12)+1,"亥","子","丑","寅","卯","辰","巳","午","未","申","酉","戌")))</f>
        <v>己卯</v>
      </c>
      <c r="I770" s="528">
        <f>$J$232</f>
        <v>16</v>
      </c>
      <c r="J770" s="532">
        <f>INDEX(lodge.dipper.du,MATCH('The Text'!D770,lodge.names,0))</f>
        <v>354.25</v>
      </c>
      <c r="K770" s="533">
        <f>I730+J730/蔀法</f>
        <v>357.32894736842104</v>
      </c>
    </row>
    <row r="771" spans="2:11" ht="13.2" customHeight="1">
      <c r="B771" s="799"/>
      <c r="C771" s="515" t="s">
        <v>647</v>
      </c>
      <c r="D771" s="529" t="str">
        <f t="shared" ref="D771:D784" si="123">INDEX(lodge.names,MATCH(K771,lodge.dipper.du,1))</f>
        <v>斗</v>
      </c>
      <c r="E771" s="529">
        <f t="shared" ref="E771:E784" si="124">INT((K771*蔀法-J771*蔀法)/蔀法)</f>
        <v>5</v>
      </c>
      <c r="F771" s="530">
        <f t="shared" ref="F771:F784" si="125">MOD(K771*蔀法-J771*蔀法,蔀法)</f>
        <v>33.999999999997726</v>
      </c>
      <c r="G771" s="520">
        <f>INDEX($H$459:$H$486,MATCH(D771,$G$459:$G$486,0))</f>
        <v>26.25</v>
      </c>
      <c r="H771" s="433" t="str">
        <f t="shared" si="122"/>
        <v>庚辰</v>
      </c>
      <c r="I771" s="528">
        <f>MOD(I770,60)+1</f>
        <v>17</v>
      </c>
      <c r="J771" s="532">
        <f>INDEX(lodge.dipper.du,MATCH('The Text'!D771,lodge.names,0))</f>
        <v>0</v>
      </c>
      <c r="K771" s="535">
        <f t="shared" ref="K771:K784" si="126">MOD(K770+13+28/蔀法,mean_solar_year)</f>
        <v>5.4473684210526017</v>
      </c>
    </row>
    <row r="772" spans="2:11" ht="13.2" customHeight="1">
      <c r="B772" s="799"/>
      <c r="C772" s="515" t="s">
        <v>647</v>
      </c>
      <c r="D772" s="529" t="str">
        <f t="shared" si="123"/>
        <v>斗</v>
      </c>
      <c r="E772" s="529">
        <f t="shared" si="124"/>
        <v>18</v>
      </c>
      <c r="F772" s="530">
        <f t="shared" si="125"/>
        <v>61.999999999997726</v>
      </c>
      <c r="G772" s="472">
        <f t="shared" ref="G772:G784" si="127">INDEX($H$459:$H$486,MATCH(D772,$G$459:$G$486,0))</f>
        <v>26.25</v>
      </c>
      <c r="H772" s="433" t="str">
        <f t="shared" si="122"/>
        <v>辛巳</v>
      </c>
      <c r="I772" s="528">
        <f t="shared" ref="I772:I784" si="128">MOD(I771,60)+1</f>
        <v>18</v>
      </c>
      <c r="J772" s="532">
        <f>INDEX(lodge.dipper.du,MATCH('The Text'!D772,lodge.names,0))</f>
        <v>0</v>
      </c>
      <c r="K772" s="535">
        <f t="shared" si="126"/>
        <v>18.81578947368418</v>
      </c>
    </row>
    <row r="773" spans="2:11" ht="13.2" customHeight="1">
      <c r="B773" s="799"/>
      <c r="C773" s="515" t="s">
        <v>647</v>
      </c>
      <c r="D773" s="529" t="str">
        <f t="shared" si="123"/>
        <v>牛</v>
      </c>
      <c r="E773" s="529">
        <f t="shared" si="124"/>
        <v>5</v>
      </c>
      <c r="F773" s="530">
        <f t="shared" si="125"/>
        <v>70.999999999997726</v>
      </c>
      <c r="G773" s="472">
        <f t="shared" si="127"/>
        <v>8</v>
      </c>
      <c r="H773" s="433" t="str">
        <f t="shared" si="122"/>
        <v>壬午</v>
      </c>
      <c r="I773" s="528">
        <f t="shared" si="128"/>
        <v>19</v>
      </c>
      <c r="J773" s="532">
        <f>INDEX(lodge.dipper.du,MATCH('The Text'!D773,lodge.names,0))</f>
        <v>26.25</v>
      </c>
      <c r="K773" s="535">
        <f t="shared" si="126"/>
        <v>32.184210526315759</v>
      </c>
    </row>
    <row r="774" spans="2:11" ht="13.2" customHeight="1">
      <c r="B774" s="799"/>
      <c r="C774" s="515" t="s">
        <v>647</v>
      </c>
      <c r="D774" s="529" t="str">
        <f t="shared" si="123"/>
        <v>女</v>
      </c>
      <c r="E774" s="529">
        <f t="shared" si="124"/>
        <v>11</v>
      </c>
      <c r="F774" s="530">
        <f t="shared" si="125"/>
        <v>22.999999999998181</v>
      </c>
      <c r="G774" s="472">
        <f t="shared" si="127"/>
        <v>12</v>
      </c>
      <c r="H774" s="433" t="str">
        <f t="shared" si="122"/>
        <v>癸未</v>
      </c>
      <c r="I774" s="528">
        <f t="shared" si="128"/>
        <v>20</v>
      </c>
      <c r="J774" s="532">
        <f>INDEX(lodge.dipper.du,MATCH('The Text'!D774,lodge.names,0))</f>
        <v>34.25</v>
      </c>
      <c r="K774" s="535">
        <f t="shared" si="126"/>
        <v>45.552631578947341</v>
      </c>
    </row>
    <row r="775" spans="2:11" ht="13.2" customHeight="1">
      <c r="B775" s="799"/>
      <c r="C775" s="515" t="s">
        <v>647</v>
      </c>
      <c r="D775" s="529" t="str">
        <f t="shared" si="123"/>
        <v>危</v>
      </c>
      <c r="E775" s="529">
        <f t="shared" si="124"/>
        <v>2</v>
      </c>
      <c r="F775" s="530">
        <f t="shared" si="125"/>
        <v>50.999999999998181</v>
      </c>
      <c r="G775" s="472">
        <f t="shared" si="127"/>
        <v>17</v>
      </c>
      <c r="H775" s="433" t="str">
        <f t="shared" si="122"/>
        <v>甲申</v>
      </c>
      <c r="I775" s="528">
        <f t="shared" si="128"/>
        <v>21</v>
      </c>
      <c r="J775" s="532">
        <f>INDEX(lodge.dipper.du,MATCH('The Text'!D775,lodge.names,0))</f>
        <v>56.25</v>
      </c>
      <c r="K775" s="535">
        <f t="shared" si="126"/>
        <v>58.921052631578924</v>
      </c>
    </row>
    <row r="776" spans="2:11" ht="13.2" customHeight="1">
      <c r="B776" s="799"/>
      <c r="C776" s="515" t="s">
        <v>647</v>
      </c>
      <c r="D776" s="529" t="str">
        <f t="shared" si="123"/>
        <v>危</v>
      </c>
      <c r="E776" s="529">
        <f t="shared" si="124"/>
        <v>16</v>
      </c>
      <c r="F776" s="530">
        <f t="shared" si="125"/>
        <v>2.999999999998181</v>
      </c>
      <c r="G776" s="472">
        <f t="shared" si="127"/>
        <v>17</v>
      </c>
      <c r="H776" s="433" t="str">
        <f t="shared" si="122"/>
        <v>乙酉</v>
      </c>
      <c r="I776" s="528">
        <f t="shared" si="128"/>
        <v>22</v>
      </c>
      <c r="J776" s="532">
        <f>INDEX(lodge.dipper.du,MATCH('The Text'!D776,lodge.names,0))</f>
        <v>56.25</v>
      </c>
      <c r="K776" s="535">
        <f t="shared" si="126"/>
        <v>72.289473684210506</v>
      </c>
    </row>
    <row r="777" spans="2:11" ht="13.2" customHeight="1">
      <c r="B777" s="799"/>
      <c r="C777" s="515" t="s">
        <v>647</v>
      </c>
      <c r="D777" s="529" t="str">
        <f t="shared" si="123"/>
        <v>室</v>
      </c>
      <c r="E777" s="529">
        <f t="shared" si="124"/>
        <v>12</v>
      </c>
      <c r="F777" s="530">
        <f t="shared" si="125"/>
        <v>30.999999999998181</v>
      </c>
      <c r="G777" s="472">
        <f t="shared" si="127"/>
        <v>16</v>
      </c>
      <c r="H777" s="433" t="str">
        <f t="shared" si="122"/>
        <v>丙戌</v>
      </c>
      <c r="I777" s="528">
        <f t="shared" si="128"/>
        <v>23</v>
      </c>
      <c r="J777" s="532">
        <f>INDEX(lodge.dipper.du,MATCH('The Text'!D777,lodge.names,0))</f>
        <v>73.25</v>
      </c>
      <c r="K777" s="535">
        <f t="shared" si="126"/>
        <v>85.657894736842081</v>
      </c>
    </row>
    <row r="778" spans="2:11" ht="13.2" customHeight="1">
      <c r="B778" s="799"/>
      <c r="C778" s="515" t="s">
        <v>647</v>
      </c>
      <c r="D778" s="529" t="str">
        <f t="shared" si="123"/>
        <v>奎</v>
      </c>
      <c r="E778" s="529">
        <f t="shared" si="124"/>
        <v>0</v>
      </c>
      <c r="F778" s="530">
        <f t="shared" si="125"/>
        <v>58.999999999998181</v>
      </c>
      <c r="G778" s="472">
        <f t="shared" si="127"/>
        <v>16</v>
      </c>
      <c r="H778" s="433" t="str">
        <f t="shared" si="122"/>
        <v>丁亥</v>
      </c>
      <c r="I778" s="528">
        <f t="shared" si="128"/>
        <v>24</v>
      </c>
      <c r="J778" s="532">
        <f>INDEX(lodge.dipper.du,MATCH('The Text'!D778,lodge.names,0))</f>
        <v>98.25</v>
      </c>
      <c r="K778" s="535">
        <f t="shared" si="126"/>
        <v>99.026315789473657</v>
      </c>
    </row>
    <row r="779" spans="2:11" ht="13.2" customHeight="1">
      <c r="B779" s="799"/>
      <c r="C779" s="515" t="s">
        <v>647</v>
      </c>
      <c r="D779" s="529" t="str">
        <f t="shared" si="123"/>
        <v>奎</v>
      </c>
      <c r="E779" s="529">
        <f t="shared" si="124"/>
        <v>14</v>
      </c>
      <c r="F779" s="530">
        <f t="shared" si="125"/>
        <v>10.999999999998181</v>
      </c>
      <c r="G779" s="472">
        <f t="shared" si="127"/>
        <v>16</v>
      </c>
      <c r="H779" s="433" t="str">
        <f t="shared" si="122"/>
        <v>戊子</v>
      </c>
      <c r="I779" s="528">
        <f t="shared" si="128"/>
        <v>25</v>
      </c>
      <c r="J779" s="532">
        <f>INDEX(lodge.dipper.du,MATCH('The Text'!D779,lodge.names,0))</f>
        <v>98.25</v>
      </c>
      <c r="K779" s="535">
        <f t="shared" si="126"/>
        <v>112.39473684210523</v>
      </c>
    </row>
    <row r="780" spans="2:11" ht="13.2" customHeight="1">
      <c r="B780" s="799"/>
      <c r="C780" s="515" t="s">
        <v>647</v>
      </c>
      <c r="D780" s="529" t="str">
        <f t="shared" si="123"/>
        <v>婁</v>
      </c>
      <c r="E780" s="529">
        <f t="shared" si="124"/>
        <v>11</v>
      </c>
      <c r="F780" s="530">
        <f t="shared" si="125"/>
        <v>38.999999999998181</v>
      </c>
      <c r="G780" s="472">
        <f t="shared" si="127"/>
        <v>12</v>
      </c>
      <c r="H780" s="433" t="str">
        <f t="shared" si="122"/>
        <v>己丑</v>
      </c>
      <c r="I780" s="528">
        <f t="shared" si="128"/>
        <v>26</v>
      </c>
      <c r="J780" s="532">
        <f>INDEX(lodge.dipper.du,MATCH('The Text'!D780,lodge.names,0))</f>
        <v>114.25</v>
      </c>
      <c r="K780" s="535">
        <f t="shared" si="126"/>
        <v>125.76315789473681</v>
      </c>
    </row>
    <row r="781" spans="2:11" ht="13.2" customHeight="1">
      <c r="B781" s="799"/>
      <c r="C781" s="515" t="s">
        <v>647</v>
      </c>
      <c r="D781" s="529" t="str">
        <f t="shared" si="123"/>
        <v>胃</v>
      </c>
      <c r="E781" s="529">
        <f t="shared" si="124"/>
        <v>12</v>
      </c>
      <c r="F781" s="530">
        <f t="shared" si="125"/>
        <v>67</v>
      </c>
      <c r="G781" s="472">
        <f t="shared" si="127"/>
        <v>14</v>
      </c>
      <c r="H781" s="433" t="str">
        <f t="shared" si="122"/>
        <v>庚寅</v>
      </c>
      <c r="I781" s="528">
        <f t="shared" si="128"/>
        <v>27</v>
      </c>
      <c r="J781" s="532">
        <f>INDEX(lodge.dipper.du,MATCH('The Text'!D781,lodge.names,0))</f>
        <v>126.25</v>
      </c>
      <c r="K781" s="535">
        <f t="shared" si="126"/>
        <v>139.13157894736841</v>
      </c>
    </row>
    <row r="782" spans="2:11" ht="13.2" customHeight="1">
      <c r="B782" s="799"/>
      <c r="C782" s="515" t="s">
        <v>647</v>
      </c>
      <c r="D782" s="529" t="str">
        <f t="shared" si="123"/>
        <v>畢</v>
      </c>
      <c r="E782" s="529">
        <f t="shared" si="124"/>
        <v>1</v>
      </c>
      <c r="F782" s="530">
        <f t="shared" si="125"/>
        <v>19</v>
      </c>
      <c r="G782" s="472">
        <f t="shared" si="127"/>
        <v>16</v>
      </c>
      <c r="H782" s="433" t="str">
        <f t="shared" si="122"/>
        <v>辛卯</v>
      </c>
      <c r="I782" s="528">
        <f t="shared" si="128"/>
        <v>28</v>
      </c>
      <c r="J782" s="532">
        <f>INDEX(lodge.dipper.du,MATCH('The Text'!D782,lodge.names,0))</f>
        <v>151.25</v>
      </c>
      <c r="K782" s="535">
        <f t="shared" si="126"/>
        <v>152.5</v>
      </c>
    </row>
    <row r="783" spans="2:11" ht="13.2" customHeight="1">
      <c r="B783" s="799"/>
      <c r="C783" s="515" t="s">
        <v>647</v>
      </c>
      <c r="D783" s="529" t="str">
        <f t="shared" si="123"/>
        <v>畢</v>
      </c>
      <c r="E783" s="529">
        <f t="shared" si="124"/>
        <v>14</v>
      </c>
      <c r="F783" s="530">
        <f t="shared" si="125"/>
        <v>47</v>
      </c>
      <c r="G783" s="472">
        <f t="shared" si="127"/>
        <v>16</v>
      </c>
      <c r="H783" s="433" t="str">
        <f t="shared" si="122"/>
        <v>壬辰</v>
      </c>
      <c r="I783" s="528">
        <f t="shared" si="128"/>
        <v>29</v>
      </c>
      <c r="J783" s="532">
        <f>INDEX(lodge.dipper.du,MATCH('The Text'!D783,lodge.names,0))</f>
        <v>151.25</v>
      </c>
      <c r="K783" s="535">
        <f t="shared" si="126"/>
        <v>165.86842105263159</v>
      </c>
    </row>
    <row r="784" spans="2:11" ht="13.2" customHeight="1">
      <c r="B784" s="848"/>
      <c r="C784" s="849" t="s">
        <v>647</v>
      </c>
      <c r="D784" s="538" t="str">
        <f t="shared" si="123"/>
        <v>井</v>
      </c>
      <c r="E784" s="538">
        <f t="shared" si="124"/>
        <v>0</v>
      </c>
      <c r="F784" s="539">
        <f t="shared" si="125"/>
        <v>75.000000000001819</v>
      </c>
      <c r="G784" s="473">
        <f t="shared" si="127"/>
        <v>33</v>
      </c>
      <c r="H784" s="438" t="str">
        <f t="shared" si="122"/>
        <v>癸巳</v>
      </c>
      <c r="I784" s="541">
        <f t="shared" si="128"/>
        <v>30</v>
      </c>
      <c r="J784" s="542">
        <f>INDEX(lodge.dipper.du,MATCH('The Text'!D784,lodge.names,0))</f>
        <v>178.25</v>
      </c>
      <c r="K784" s="543">
        <f t="shared" si="126"/>
        <v>179.23684210526318</v>
      </c>
    </row>
    <row r="785" spans="1:16" ht="13.2" customHeight="1">
      <c r="C785" s="515" t="s">
        <v>108</v>
      </c>
      <c r="D785" s="516" t="s">
        <v>108</v>
      </c>
      <c r="E785" s="321" t="s">
        <v>108</v>
      </c>
      <c r="F785" s="521" t="s">
        <v>108</v>
      </c>
      <c r="G785" s="518" t="s">
        <v>108</v>
      </c>
      <c r="H785" s="321" t="s">
        <v>108</v>
      </c>
      <c r="I785" t="s">
        <v>108</v>
      </c>
    </row>
    <row r="786" spans="1:16" s="79" customFormat="1" ht="13.2" customHeight="1" thickBot="1">
      <c r="A786" s="77"/>
      <c r="B786" s="69"/>
      <c r="C786" s="10"/>
      <c r="D786" s="10"/>
      <c r="E786" s="10"/>
      <c r="F786" s="10"/>
      <c r="G786" s="10"/>
      <c r="H786" s="10"/>
      <c r="I786" s="56"/>
      <c r="J786" s="10"/>
      <c r="K786" s="10"/>
      <c r="M786"/>
      <c r="N786"/>
      <c r="O786"/>
      <c r="P786"/>
    </row>
    <row r="787" spans="1:16" s="79" customFormat="1" ht="13.2" customHeight="1" thickTop="1">
      <c r="A787" s="85"/>
      <c r="B787" s="70"/>
      <c r="C787" s="71"/>
      <c r="D787" s="71"/>
      <c r="E787" s="71"/>
      <c r="F787" s="71"/>
      <c r="G787" s="71"/>
      <c r="H787" s="71"/>
      <c r="I787" s="83"/>
      <c r="J787" s="71"/>
      <c r="K787" s="71"/>
    </row>
    <row r="788" spans="1:16" s="79" customFormat="1" ht="13.95" customHeight="1">
      <c r="A788" s="77"/>
      <c r="B788" s="760" t="s">
        <v>110</v>
      </c>
      <c r="C788" s="760"/>
      <c r="D788" s="760"/>
      <c r="E788" s="760"/>
      <c r="F788" s="760"/>
      <c r="G788" s="760"/>
      <c r="H788"/>
      <c r="I788" s="55"/>
      <c r="J788"/>
      <c r="K788"/>
    </row>
    <row r="789" spans="1:16" ht="13.2" customHeight="1"/>
    <row r="790" spans="1:16" ht="13.2" customHeight="1">
      <c r="B790" s="544" t="s">
        <v>624</v>
      </c>
      <c r="C790" s="468" t="s">
        <v>579</v>
      </c>
      <c r="D790" s="468" t="s">
        <v>621</v>
      </c>
      <c r="E790" s="545" t="s">
        <v>625</v>
      </c>
      <c r="F790" s="469" t="s">
        <v>626</v>
      </c>
      <c r="G790" s="468" t="s">
        <v>622</v>
      </c>
      <c r="H790" s="468" t="s">
        <v>648</v>
      </c>
      <c r="I790" s="546"/>
      <c r="J790" s="468" t="s">
        <v>662</v>
      </c>
      <c r="K790" s="547" t="s">
        <v>663</v>
      </c>
    </row>
    <row r="791" spans="1:16" ht="13.2" customHeight="1">
      <c r="B791" s="531" t="str">
        <f t="shared" ref="B791:B805" si="129">C239</f>
        <v>天正</v>
      </c>
      <c r="C791" s="430" t="s">
        <v>680</v>
      </c>
      <c r="D791" s="430" t="str">
        <f>D770</f>
        <v>箕</v>
      </c>
      <c r="E791" s="428">
        <f>E770</f>
        <v>3</v>
      </c>
      <c r="F791" s="429">
        <f>F770</f>
        <v>6</v>
      </c>
      <c r="G791" s="520">
        <f>INDEX($H$459:$H$486,MATCH(D791,$G$459:$G$486,0))</f>
        <v>11</v>
      </c>
      <c r="H791" s="433" t="str">
        <f t="shared" ref="H791:H805" si="130">CONCATENATE(CHOOSE(MOD(I791,10)+1,"癸","甲","乙","丙","丁","戊","己","庚","辛","壬"),(CHOOSE(MOD(I791,12)+1,"亥","子","丑","寅","卯","辰","巳","午","未","申","酉","戌")))</f>
        <v>己卯</v>
      </c>
      <c r="I791" s="528">
        <f>$J$232</f>
        <v>16</v>
      </c>
      <c r="J791" s="532">
        <f>INDEX(lodge.dipper.du,MATCH('The Text'!D791,lodge.names,0))</f>
        <v>354.25</v>
      </c>
      <c r="K791" s="533">
        <f>K770</f>
        <v>357.32894736842104</v>
      </c>
    </row>
    <row r="792" spans="1:16" ht="13.2" customHeight="1">
      <c r="B792" s="531" t="str">
        <f t="shared" si="129"/>
        <v>二月</v>
      </c>
      <c r="C792" s="534" t="str">
        <f>INDEX($E$347:$E$403,MATCH(B792,$B$347:$B$403,0))</f>
        <v>前年十二月</v>
      </c>
      <c r="D792" s="529" t="str">
        <f t="shared" ref="D792:D805" si="131">INDEX(lodge.names,MATCH(K792,lodge.dipper.du,1))</f>
        <v>牛</v>
      </c>
      <c r="E792" s="529">
        <f t="shared" ref="E792:E805" si="132">INT((K792*蔀法-J792*蔀法)/蔀法)</f>
        <v>1</v>
      </c>
      <c r="F792" s="530">
        <f t="shared" ref="F792:F805" si="133">MOD(K792*蔀法-J792*蔀法,蔀法)</f>
        <v>47.999999999992724</v>
      </c>
      <c r="G792" s="520">
        <f>INDEX($H$459:$H$486,MATCH(D792,$G$459:$G$486,0))</f>
        <v>8</v>
      </c>
      <c r="H792" s="433" t="str">
        <f t="shared" si="130"/>
        <v>己酉</v>
      </c>
      <c r="I792" s="528">
        <f>INDEX($G$347:$G$403,MATCH(B792,$B$347:$B$403,0))</f>
        <v>46</v>
      </c>
      <c r="J792" s="532">
        <f>INDEX(lodge.dipper.du,MATCH('The Text'!D792,lodge.names,0))</f>
        <v>26.25</v>
      </c>
      <c r="K792" s="535">
        <f t="shared" ref="K792:K805" si="134">MOD(K791+MOD(I792-I791,60)*(13+28/蔀法),mean_solar_year)</f>
        <v>27.881578947368325</v>
      </c>
    </row>
    <row r="793" spans="1:16" ht="13.2" customHeight="1">
      <c r="B793" s="531" t="str">
        <f t="shared" si="129"/>
        <v>三月</v>
      </c>
      <c r="C793" s="534" t="str">
        <f t="shared" ref="C793:C805" si="135">INDEX($E$347:$E$403,MATCH(B793,$B$347:$B$403,0))</f>
        <v>正月</v>
      </c>
      <c r="D793" s="529" t="str">
        <f t="shared" si="131"/>
        <v>虛</v>
      </c>
      <c r="E793" s="529">
        <f t="shared" si="132"/>
        <v>4</v>
      </c>
      <c r="F793" s="530">
        <f t="shared" si="133"/>
        <v>4.9999999999918145</v>
      </c>
      <c r="G793" s="520">
        <f t="shared" ref="G793:G805" si="136">INDEX($H$459:$H$486,MATCH(D793,$G$459:$G$486,0))</f>
        <v>10</v>
      </c>
      <c r="H793" s="433" t="str">
        <f t="shared" si="130"/>
        <v>戊寅</v>
      </c>
      <c r="I793" s="528">
        <f t="shared" ref="I793:I805" si="137">INDEX($G$347:$G$403,MATCH(B793,$B$347:$B$403,0))</f>
        <v>15</v>
      </c>
      <c r="J793" s="532">
        <f>INDEX(lodge.dipper.du,MATCH('The Text'!D793,lodge.names,0))</f>
        <v>46.25</v>
      </c>
      <c r="K793" s="535">
        <f t="shared" si="134"/>
        <v>50.315789473684106</v>
      </c>
    </row>
    <row r="794" spans="1:16" ht="13.2" customHeight="1">
      <c r="B794" s="531" t="str">
        <f t="shared" si="129"/>
        <v>四月</v>
      </c>
      <c r="C794" s="534" t="str">
        <f t="shared" si="135"/>
        <v>二月</v>
      </c>
      <c r="D794" s="529" t="str">
        <f t="shared" si="131"/>
        <v>室</v>
      </c>
      <c r="E794" s="529">
        <f t="shared" si="132"/>
        <v>12</v>
      </c>
      <c r="F794" s="530">
        <f t="shared" si="133"/>
        <v>65.999999999989996</v>
      </c>
      <c r="G794" s="520">
        <f t="shared" si="136"/>
        <v>16</v>
      </c>
      <c r="H794" s="433" t="str">
        <f t="shared" si="130"/>
        <v>戊申</v>
      </c>
      <c r="I794" s="528">
        <f t="shared" si="137"/>
        <v>45</v>
      </c>
      <c r="J794" s="532">
        <f>INDEX(lodge.dipper.du,MATCH('The Text'!D794,lodge.names,0))</f>
        <v>73.25</v>
      </c>
      <c r="K794" s="535">
        <f t="shared" si="134"/>
        <v>86.118421052631447</v>
      </c>
    </row>
    <row r="795" spans="1:16" ht="13.2" customHeight="1">
      <c r="B795" s="531" t="str">
        <f t="shared" si="129"/>
        <v>五月</v>
      </c>
      <c r="C795" s="534" t="str">
        <f t="shared" si="135"/>
        <v>三月</v>
      </c>
      <c r="D795" s="529" t="str">
        <f t="shared" si="131"/>
        <v>婁</v>
      </c>
      <c r="E795" s="529">
        <f t="shared" si="132"/>
        <v>7</v>
      </c>
      <c r="F795" s="530">
        <f t="shared" si="133"/>
        <v>50.999999999987267</v>
      </c>
      <c r="G795" s="520">
        <f t="shared" si="136"/>
        <v>12</v>
      </c>
      <c r="H795" s="433" t="str">
        <f t="shared" si="130"/>
        <v>戊寅</v>
      </c>
      <c r="I795" s="528">
        <f t="shared" si="137"/>
        <v>15</v>
      </c>
      <c r="J795" s="532">
        <f>INDEX(lodge.dipper.du,MATCH('The Text'!D795,lodge.names,0))</f>
        <v>114.25</v>
      </c>
      <c r="K795" s="535">
        <f t="shared" si="134"/>
        <v>121.92105263157879</v>
      </c>
    </row>
    <row r="796" spans="1:16" ht="13.2" customHeight="1">
      <c r="B796" s="531" t="str">
        <f t="shared" si="129"/>
        <v>六月</v>
      </c>
      <c r="C796" s="534" t="str">
        <f t="shared" si="135"/>
        <v>四月</v>
      </c>
      <c r="D796" s="529" t="str">
        <f t="shared" si="131"/>
        <v>昴</v>
      </c>
      <c r="E796" s="529">
        <f t="shared" si="132"/>
        <v>4</v>
      </c>
      <c r="F796" s="530">
        <f t="shared" si="133"/>
        <v>7.9999999999872671</v>
      </c>
      <c r="G796" s="520">
        <f t="shared" si="136"/>
        <v>11</v>
      </c>
      <c r="H796" s="433" t="str">
        <f t="shared" si="130"/>
        <v>丁未</v>
      </c>
      <c r="I796" s="528">
        <f t="shared" si="137"/>
        <v>44</v>
      </c>
      <c r="J796" s="532">
        <f>INDEX(lodge.dipper.du,MATCH('The Text'!D796,lodge.names,0))</f>
        <v>140.25</v>
      </c>
      <c r="K796" s="535">
        <f t="shared" si="134"/>
        <v>144.35526315789457</v>
      </c>
    </row>
    <row r="797" spans="1:16" ht="13.2" customHeight="1">
      <c r="B797" s="531" t="str">
        <f t="shared" si="129"/>
        <v>七月</v>
      </c>
      <c r="C797" s="534" t="str">
        <f t="shared" si="135"/>
        <v>五月</v>
      </c>
      <c r="D797" s="529" t="str">
        <f t="shared" si="131"/>
        <v>井</v>
      </c>
      <c r="E797" s="529">
        <f t="shared" si="132"/>
        <v>1</v>
      </c>
      <c r="F797" s="530">
        <f t="shared" si="133"/>
        <v>68.99999999998181</v>
      </c>
      <c r="G797" s="520">
        <f t="shared" si="136"/>
        <v>33</v>
      </c>
      <c r="H797" s="433" t="str">
        <f t="shared" si="130"/>
        <v>丁丑</v>
      </c>
      <c r="I797" s="528">
        <f t="shared" si="137"/>
        <v>14</v>
      </c>
      <c r="J797" s="532">
        <f>INDEX(lodge.dipper.du,MATCH('The Text'!D797,lodge.names,0))</f>
        <v>178.25</v>
      </c>
      <c r="K797" s="535">
        <f t="shared" si="134"/>
        <v>180.15789473684185</v>
      </c>
    </row>
    <row r="798" spans="1:16" ht="13.2" customHeight="1">
      <c r="B798" s="531" t="str">
        <f t="shared" si="129"/>
        <v>八月</v>
      </c>
      <c r="C798" s="534" t="str">
        <f t="shared" si="135"/>
        <v>六月</v>
      </c>
      <c r="D798" s="529" t="str">
        <f t="shared" si="131"/>
        <v>井</v>
      </c>
      <c r="E798" s="529">
        <f t="shared" si="132"/>
        <v>24</v>
      </c>
      <c r="F798" s="530">
        <f t="shared" si="133"/>
        <v>25.999999999985448</v>
      </c>
      <c r="G798" s="520">
        <f t="shared" si="136"/>
        <v>33</v>
      </c>
      <c r="H798" s="433" t="str">
        <f t="shared" si="130"/>
        <v>丙午</v>
      </c>
      <c r="I798" s="528">
        <f t="shared" si="137"/>
        <v>43</v>
      </c>
      <c r="J798" s="532">
        <f>INDEX(lodge.dipper.du,MATCH('The Text'!D798,lodge.names,0))</f>
        <v>178.25</v>
      </c>
      <c r="K798" s="535">
        <f t="shared" si="134"/>
        <v>202.59210526315769</v>
      </c>
    </row>
    <row r="799" spans="1:16" ht="13.2" customHeight="1">
      <c r="B799" s="531" t="str">
        <f t="shared" si="129"/>
        <v>九月</v>
      </c>
      <c r="C799" s="534" t="str">
        <f t="shared" si="135"/>
        <v>七月</v>
      </c>
      <c r="D799" s="529" t="str">
        <f t="shared" si="131"/>
        <v>張</v>
      </c>
      <c r="E799" s="529">
        <f t="shared" si="132"/>
        <v>1</v>
      </c>
      <c r="F799" s="530">
        <f t="shared" si="133"/>
        <v>10.999999999978172</v>
      </c>
      <c r="G799" s="520">
        <f t="shared" si="136"/>
        <v>18</v>
      </c>
      <c r="H799" s="433" t="str">
        <f t="shared" si="130"/>
        <v>丙子</v>
      </c>
      <c r="I799" s="528">
        <f t="shared" si="137"/>
        <v>13</v>
      </c>
      <c r="J799" s="532">
        <f>INDEX(lodge.dipper.du,MATCH('The Text'!D799,lodge.names,0))</f>
        <v>237.25</v>
      </c>
      <c r="K799" s="535">
        <f t="shared" si="134"/>
        <v>238.39473684210498</v>
      </c>
    </row>
    <row r="800" spans="1:16" ht="13.2" customHeight="1">
      <c r="B800" s="531" t="str">
        <f t="shared" si="129"/>
        <v>十月</v>
      </c>
      <c r="C800" s="534" t="str">
        <f t="shared" si="135"/>
        <v>八月</v>
      </c>
      <c r="D800" s="529" t="str">
        <f t="shared" si="131"/>
        <v>翼</v>
      </c>
      <c r="E800" s="529">
        <f t="shared" si="132"/>
        <v>5</v>
      </c>
      <c r="F800" s="530">
        <f t="shared" si="133"/>
        <v>43.99999999998181</v>
      </c>
      <c r="G800" s="520">
        <f t="shared" si="136"/>
        <v>18</v>
      </c>
      <c r="H800" s="433" t="str">
        <f t="shared" si="130"/>
        <v>乙巳</v>
      </c>
      <c r="I800" s="528">
        <f t="shared" si="137"/>
        <v>42</v>
      </c>
      <c r="J800" s="532">
        <f>INDEX(lodge.dipper.du,MATCH('The Text'!D800,lodge.names,0))</f>
        <v>255.25</v>
      </c>
      <c r="K800" s="535">
        <f t="shared" si="134"/>
        <v>260.82894736842081</v>
      </c>
    </row>
    <row r="801" spans="1:17" ht="13.2" customHeight="1">
      <c r="B801" s="531" t="str">
        <f t="shared" si="129"/>
        <v>十一月</v>
      </c>
      <c r="C801" s="534" t="str">
        <f t="shared" si="135"/>
        <v>九月</v>
      </c>
      <c r="D801" s="529" t="str">
        <f t="shared" si="131"/>
        <v>角</v>
      </c>
      <c r="E801" s="529">
        <f t="shared" si="132"/>
        <v>6</v>
      </c>
      <c r="F801" s="530">
        <f t="shared" si="133"/>
        <v>28.999999999974534</v>
      </c>
      <c r="G801" s="520">
        <f t="shared" si="136"/>
        <v>12</v>
      </c>
      <c r="H801" s="433" t="str">
        <f t="shared" si="130"/>
        <v>乙亥</v>
      </c>
      <c r="I801" s="528">
        <f t="shared" si="137"/>
        <v>12</v>
      </c>
      <c r="J801" s="532">
        <f>INDEX(lodge.dipper.du,MATCH('The Text'!D801,lodge.names,0))</f>
        <v>290.25</v>
      </c>
      <c r="K801" s="535">
        <f t="shared" si="134"/>
        <v>296.6315789473681</v>
      </c>
    </row>
    <row r="802" spans="1:17" ht="13.2" customHeight="1">
      <c r="B802" s="531" t="str">
        <f t="shared" si="129"/>
        <v>十二月</v>
      </c>
      <c r="C802" s="534" t="str">
        <f t="shared" si="135"/>
        <v>十月</v>
      </c>
      <c r="D802" s="529" t="str">
        <f t="shared" si="131"/>
        <v>氐</v>
      </c>
      <c r="E802" s="529">
        <f t="shared" si="132"/>
        <v>7</v>
      </c>
      <c r="F802" s="530">
        <f t="shared" si="133"/>
        <v>61.999999999978172</v>
      </c>
      <c r="G802" s="520">
        <f t="shared" si="136"/>
        <v>15</v>
      </c>
      <c r="H802" s="433" t="str">
        <f t="shared" si="130"/>
        <v>甲辰</v>
      </c>
      <c r="I802" s="528">
        <f t="shared" si="137"/>
        <v>41</v>
      </c>
      <c r="J802" s="532">
        <f>INDEX(lodge.dipper.du,MATCH('The Text'!D802,lodge.names,0))</f>
        <v>311.25</v>
      </c>
      <c r="K802" s="535">
        <f t="shared" si="134"/>
        <v>319.06578947368394</v>
      </c>
    </row>
    <row r="803" spans="1:17" ht="13.2" customHeight="1">
      <c r="B803" s="531" t="str">
        <f t="shared" si="129"/>
        <v>十三月</v>
      </c>
      <c r="C803" s="534" t="str">
        <f t="shared" si="135"/>
        <v>十一月</v>
      </c>
      <c r="D803" s="529" t="str">
        <f t="shared" si="131"/>
        <v>箕</v>
      </c>
      <c r="E803" s="529">
        <f t="shared" si="132"/>
        <v>0</v>
      </c>
      <c r="F803" s="530">
        <f t="shared" si="133"/>
        <v>46.999999999970896</v>
      </c>
      <c r="G803" s="520">
        <f t="shared" si="136"/>
        <v>11</v>
      </c>
      <c r="H803" s="433" t="str">
        <f t="shared" si="130"/>
        <v>甲戌</v>
      </c>
      <c r="I803" s="528">
        <f t="shared" si="137"/>
        <v>11</v>
      </c>
      <c r="J803" s="532">
        <f>INDEX(lodge.dipper.du,MATCH('The Text'!D803,lodge.names,0))</f>
        <v>354.25</v>
      </c>
      <c r="K803" s="535">
        <f t="shared" si="134"/>
        <v>354.86842105263122</v>
      </c>
    </row>
    <row r="804" spans="1:17" ht="13.2" customHeight="1">
      <c r="B804" s="531" t="str">
        <f t="shared" si="129"/>
        <v>十四月</v>
      </c>
      <c r="C804" s="534" t="str">
        <f t="shared" si="135"/>
        <v>十二月</v>
      </c>
      <c r="D804" s="529" t="str">
        <f t="shared" si="131"/>
        <v>斗</v>
      </c>
      <c r="E804" s="529">
        <f t="shared" si="132"/>
        <v>12</v>
      </c>
      <c r="F804" s="530">
        <f t="shared" si="133"/>
        <v>3.9999999999763531</v>
      </c>
      <c r="G804" s="520">
        <f t="shared" si="136"/>
        <v>26.25</v>
      </c>
      <c r="H804" s="433" t="str">
        <f t="shared" si="130"/>
        <v>癸卯</v>
      </c>
      <c r="I804" s="528">
        <f t="shared" si="137"/>
        <v>40</v>
      </c>
      <c r="J804" s="532">
        <f>INDEX(lodge.dipper.du,MATCH('The Text'!D804,lodge.names,0))</f>
        <v>0</v>
      </c>
      <c r="K804" s="535">
        <f t="shared" si="134"/>
        <v>12.052631578947057</v>
      </c>
    </row>
    <row r="805" spans="1:17" ht="13.2" customHeight="1">
      <c r="B805" s="536" t="str">
        <f t="shared" si="129"/>
        <v>十五月</v>
      </c>
      <c r="C805" s="537" t="str">
        <f t="shared" si="135"/>
        <v>閏十二月</v>
      </c>
      <c r="D805" s="538" t="str">
        <f t="shared" si="131"/>
        <v>虛</v>
      </c>
      <c r="E805" s="538">
        <f t="shared" si="132"/>
        <v>1</v>
      </c>
      <c r="F805" s="539">
        <f t="shared" si="133"/>
        <v>45.999999999974534</v>
      </c>
      <c r="G805" s="540">
        <f t="shared" si="136"/>
        <v>10</v>
      </c>
      <c r="H805" s="438" t="str">
        <f t="shared" si="130"/>
        <v>癸酉</v>
      </c>
      <c r="I805" s="541">
        <f t="shared" si="137"/>
        <v>10</v>
      </c>
      <c r="J805" s="542">
        <f>INDEX(lodge.dipper.du,MATCH('The Text'!D805,lodge.names,0))</f>
        <v>46.25</v>
      </c>
      <c r="K805" s="543">
        <f t="shared" si="134"/>
        <v>47.855263157894399</v>
      </c>
    </row>
    <row r="806" spans="1:17" s="79" customFormat="1" ht="13.2" customHeight="1" thickBot="1">
      <c r="A806" s="77"/>
      <c r="B806" s="69"/>
      <c r="C806" s="10"/>
      <c r="D806" s="10"/>
      <c r="E806" s="10"/>
      <c r="F806" s="10"/>
      <c r="G806" s="10"/>
      <c r="H806" s="10"/>
      <c r="I806" s="56"/>
      <c r="J806" s="10"/>
      <c r="K806" s="10"/>
    </row>
    <row r="807" spans="1:17" s="79" customFormat="1" ht="13.2" customHeight="1" thickTop="1">
      <c r="A807" s="77"/>
      <c r="B807" s="70"/>
      <c r="C807" s="71"/>
      <c r="D807" s="71"/>
      <c r="E807" s="71"/>
      <c r="F807" s="71"/>
      <c r="G807" s="71"/>
      <c r="H807" s="71"/>
      <c r="I807" s="83"/>
      <c r="J807" s="71"/>
      <c r="K807" s="71"/>
    </row>
    <row r="808" spans="1:17" ht="13.2" customHeight="1">
      <c r="B808" t="s">
        <v>664</v>
      </c>
    </row>
    <row r="809" spans="1:17" ht="13.2" customHeight="1"/>
    <row r="810" spans="1:17" ht="13.2" customHeight="1">
      <c r="B810" s="910" t="s">
        <v>665</v>
      </c>
      <c r="C810" s="910"/>
      <c r="D810" s="910"/>
      <c r="E810" s="910"/>
      <c r="F810" s="910"/>
      <c r="G810" s="910"/>
    </row>
    <row r="811" spans="1:17" s="79" customFormat="1" ht="13.2" customHeight="1" thickBot="1">
      <c r="A811" s="77"/>
      <c r="B811" s="69"/>
      <c r="C811" s="10"/>
      <c r="D811" s="10"/>
      <c r="E811" s="10"/>
      <c r="F811" s="10"/>
      <c r="G811" s="10"/>
      <c r="H811" s="10"/>
      <c r="I811" s="56"/>
      <c r="J811" s="10"/>
      <c r="K811" s="10"/>
    </row>
    <row r="812" spans="1:17" s="79" customFormat="1" ht="13.2" customHeight="1" thickTop="1">
      <c r="A812" s="77"/>
      <c r="B812" s="70"/>
      <c r="C812" s="71"/>
      <c r="D812" s="71"/>
      <c r="E812" s="71"/>
      <c r="F812" s="71"/>
      <c r="G812" s="71"/>
      <c r="H812" s="71"/>
      <c r="I812" s="83"/>
      <c r="J812" s="71"/>
      <c r="K812" s="71"/>
    </row>
    <row r="813" spans="1:17" s="79" customFormat="1" ht="13.2" customHeight="1">
      <c r="A813" s="522" t="s">
        <v>666</v>
      </c>
      <c r="B813" s="405" t="s">
        <v>667</v>
      </c>
      <c r="C813"/>
      <c r="D813"/>
      <c r="E813"/>
      <c r="F813"/>
      <c r="G813"/>
      <c r="H813"/>
      <c r="I813"/>
      <c r="J813"/>
      <c r="L813"/>
      <c r="M813"/>
      <c r="N813"/>
      <c r="O813"/>
      <c r="P813"/>
      <c r="Q813"/>
    </row>
    <row r="814" spans="1:17" s="79" customFormat="1" ht="13.2" customHeight="1">
      <c r="A814" s="452" t="s">
        <v>668</v>
      </c>
      <c r="B814" t="s">
        <v>669</v>
      </c>
      <c r="C814"/>
      <c r="D814"/>
      <c r="E814"/>
      <c r="F814"/>
      <c r="G814"/>
      <c r="H814"/>
      <c r="I814" s="34">
        <f>INT(積日小餘/蔀法)</f>
        <v>11</v>
      </c>
      <c r="J814" s="319">
        <f>MOD(積日小餘,蔀法)</f>
        <v>13</v>
      </c>
      <c r="K814" s="532" t="s">
        <v>671</v>
      </c>
      <c r="L814"/>
      <c r="M814"/>
      <c r="N814"/>
      <c r="O814"/>
      <c r="P814"/>
      <c r="Q814"/>
    </row>
    <row r="815" spans="1:17" s="79" customFormat="1" ht="13.2" customHeight="1">
      <c r="A815" s="77"/>
      <c r="B815" t="s">
        <v>670</v>
      </c>
      <c r="C815"/>
      <c r="D815"/>
      <c r="E815"/>
      <c r="F815"/>
      <c r="G815"/>
      <c r="H815" s="321" t="str">
        <f>D680</f>
        <v>斗</v>
      </c>
      <c r="I815" s="34">
        <f t="shared" ref="I815:J815" si="138">E680</f>
        <v>3</v>
      </c>
      <c r="J815" s="319">
        <f t="shared" si="138"/>
        <v>19</v>
      </c>
      <c r="K815" s="548">
        <f>INDEX(lodge.dipper.du,MATCH(H815,lodge.names,0))+I815+J815/蔀法</f>
        <v>3.25</v>
      </c>
      <c r="L815"/>
      <c r="M815"/>
      <c r="N815"/>
      <c r="O815"/>
      <c r="P815"/>
      <c r="Q815"/>
    </row>
    <row r="816" spans="1:17" s="79" customFormat="1" ht="13.2" customHeight="1">
      <c r="A816" s="77"/>
      <c r="B816"/>
      <c r="C816"/>
      <c r="D816"/>
      <c r="E816"/>
      <c r="F816"/>
      <c r="G816"/>
      <c r="H816" s="321" t="str">
        <f>INDEX(lodge.names,MATCH(K816,lodge.dipper.du,1))</f>
        <v>箕</v>
      </c>
      <c r="I816" s="34">
        <f>INT(K816-INDEX(lodge.dipper.du,MATCH(K816,lodge.dipper.du,1)))</f>
        <v>3</v>
      </c>
      <c r="J816" s="319">
        <f>((K816-INDEX(lodge.dipper.du,MATCH(K816,lodge.dipper.du,1)))-I816)*蔀法</f>
        <v>5.9999999999990905</v>
      </c>
      <c r="K816" s="548">
        <f>MOD(K815-(I814+J814/蔀法),mean_solar_year)</f>
        <v>357.32894736842104</v>
      </c>
      <c r="L816"/>
      <c r="M816"/>
      <c r="N816"/>
      <c r="O816"/>
      <c r="P816"/>
      <c r="Q816"/>
    </row>
    <row r="817" spans="1:9" ht="13.2" customHeight="1"/>
    <row r="818" spans="1:9" s="451" customFormat="1" ht="13.2" customHeight="1">
      <c r="A818" s="449" t="s">
        <v>672</v>
      </c>
      <c r="B818" s="450" t="s">
        <v>673</v>
      </c>
    </row>
    <row r="819" spans="1:9" ht="13.2" customHeight="1">
      <c r="A819" s="452" t="s">
        <v>674</v>
      </c>
      <c r="B819" t="s">
        <v>684</v>
      </c>
      <c r="I819" s="556">
        <f>IF(D832="leave",F828,IF(D832="drop",INT(F828),ROUND(F828,0)))</f>
        <v>49</v>
      </c>
    </row>
    <row r="820" spans="1:9" ht="13.2" customHeight="1"/>
    <row r="821" spans="1:9" ht="25.95" customHeight="1">
      <c r="B821" s="871" t="s">
        <v>725</v>
      </c>
      <c r="C821" s="871"/>
      <c r="D821" s="871"/>
      <c r="E821" s="871"/>
      <c r="F821" s="871"/>
      <c r="G821" s="871"/>
      <c r="I821" s="555"/>
    </row>
    <row r="822" spans="1:9">
      <c r="B822" s="532"/>
      <c r="C822" s="532"/>
      <c r="D822" s="532"/>
      <c r="E822" s="532"/>
      <c r="F822" s="532"/>
      <c r="G822" s="532"/>
    </row>
    <row r="823" spans="1:9" ht="13.8" thickBot="1">
      <c r="B823" s="549" t="s">
        <v>676</v>
      </c>
      <c r="C823" s="549" t="s">
        <v>678</v>
      </c>
      <c r="D823" s="549" t="s">
        <v>677</v>
      </c>
      <c r="E823" s="549" t="s">
        <v>679</v>
      </c>
      <c r="F823" s="532"/>
      <c r="G823" s="532" t="s">
        <v>682</v>
      </c>
    </row>
    <row r="824" spans="1:9" ht="13.8" thickBot="1">
      <c r="B824" s="550" t="s">
        <v>62</v>
      </c>
      <c r="C824" s="551" t="str">
        <f>INDEX($I$239:$I$253,INDEX($C$347:$C$403,MATCH(B824,$E$347:$E$403,0)))</f>
        <v>大</v>
      </c>
      <c r="D824" s="552">
        <v>2</v>
      </c>
      <c r="E824" s="551" t="str">
        <f t="shared" ref="E824" si="139">CONCATENATE(CHOOSE(MOD(F824,10)+1,"癸","甲","乙","丙","丁","戊","己","庚","辛","壬"),(CHOOSE(MOD(F824,12)+1,"亥","子","丑","寅","卯","辰","巳","午","未","申","酉","戌")))</f>
        <v>己酉</v>
      </c>
      <c r="F824" s="553">
        <f>MOD(INDEX($I$791:$I$805,MATCH(B824,$C$791:$C$805,0))+D824-2,60)+1</f>
        <v>46</v>
      </c>
      <c r="G824" s="557">
        <f>INDEX($K$347:$K$406,MATCH(B824,$E$347:$E$406,0))+D824-1</f>
        <v>70.689361702127684</v>
      </c>
    </row>
    <row r="825" spans="1:9">
      <c r="B825" s="532"/>
      <c r="C825" s="532"/>
      <c r="D825" s="532"/>
      <c r="E825" s="532"/>
      <c r="F825" s="532"/>
      <c r="G825" s="532"/>
    </row>
    <row r="826" spans="1:9" ht="80.400000000000006" customHeight="1">
      <c r="B826" s="871" t="s">
        <v>686</v>
      </c>
      <c r="C826" s="871"/>
      <c r="D826" s="871"/>
      <c r="E826" s="871"/>
      <c r="F826" s="871"/>
      <c r="G826" s="871"/>
    </row>
    <row r="827" spans="1:9" ht="13.8" thickBot="1">
      <c r="B827" s="558"/>
      <c r="C827" s="532"/>
      <c r="D827" s="532"/>
      <c r="E827" s="532"/>
      <c r="F827" s="532"/>
      <c r="G827" s="532"/>
    </row>
    <row r="828" spans="1:9" ht="13.8" thickBot="1">
      <c r="B828" s="532"/>
      <c r="C828" s="532" t="s">
        <v>681</v>
      </c>
      <c r="D828" s="554" t="s">
        <v>683</v>
      </c>
      <c r="E828" s="551" t="str">
        <f>INDEX($C$287:$C$314,MATCH(MOD(IF(D828="nearest",ROUND((mean_solar_year+G824)/(medial_qi/2),0),INT((mean_solar_year+G824)/(medial_qi/2))),24)+1,$B$287:$B$314,0))</f>
        <v>雨水</v>
      </c>
      <c r="F828" s="556">
        <f>INDEX(Han.Solar.table.night.marks,MATCH(E828,Han.Solar.table.qi.names,0))</f>
        <v>49.2</v>
      </c>
      <c r="G828" s="532"/>
    </row>
    <row r="829" spans="1:9">
      <c r="B829" s="532"/>
      <c r="C829" s="532"/>
      <c r="D829" s="532"/>
      <c r="E829" s="532"/>
      <c r="F829" s="532"/>
      <c r="G829" s="532"/>
    </row>
    <row r="830" spans="1:9" ht="43.2" customHeight="1">
      <c r="B830" s="871" t="s">
        <v>687</v>
      </c>
      <c r="C830" s="871"/>
      <c r="D830" s="871"/>
      <c r="E830" s="871"/>
      <c r="F830" s="871"/>
      <c r="G830" s="871"/>
    </row>
    <row r="831" spans="1:9" ht="15.6" customHeight="1" thickBot="1">
      <c r="B831" s="532"/>
      <c r="C831" s="532"/>
      <c r="D831" s="532"/>
      <c r="E831" s="532"/>
      <c r="F831" s="532"/>
      <c r="G831" s="532"/>
    </row>
    <row r="832" spans="1:9" ht="13.8" thickBot="1">
      <c r="B832" s="532"/>
      <c r="C832" s="532" t="s">
        <v>688</v>
      </c>
      <c r="D832" s="554" t="s">
        <v>689</v>
      </c>
      <c r="E832" s="532"/>
      <c r="F832" s="532"/>
      <c r="G832" s="532"/>
    </row>
    <row r="833" spans="1:13">
      <c r="B833" s="532"/>
      <c r="C833" s="532"/>
      <c r="D833" s="532"/>
      <c r="E833" s="532"/>
      <c r="F833" s="532"/>
      <c r="G833" s="532"/>
    </row>
    <row r="834" spans="1:13" ht="12" customHeight="1"/>
    <row r="835" spans="1:13" ht="12" customHeight="1">
      <c r="B835" t="s">
        <v>642</v>
      </c>
      <c r="I835">
        <f>I819*蔀法</f>
        <v>3724</v>
      </c>
    </row>
    <row r="836" spans="1:13" ht="12" customHeight="1">
      <c r="B836" t="s">
        <v>685</v>
      </c>
      <c r="I836">
        <f>INT(I835/200)</f>
        <v>18</v>
      </c>
      <c r="J836" s="560">
        <f>MOD(I835,200)</f>
        <v>124</v>
      </c>
      <c r="K836" t="s">
        <v>709</v>
      </c>
    </row>
    <row r="837" spans="1:13" ht="12" customHeight="1"/>
    <row r="838" spans="1:13" ht="29.4" customHeight="1">
      <c r="B838" s="911" t="s">
        <v>708</v>
      </c>
      <c r="C838" s="911"/>
      <c r="D838" s="911"/>
      <c r="E838" s="911"/>
      <c r="F838" s="911"/>
      <c r="G838" s="911"/>
    </row>
    <row r="839" spans="1:13" ht="12" customHeight="1">
      <c r="C839" s="406" t="s">
        <v>707</v>
      </c>
      <c r="D839" s="406" t="s">
        <v>621</v>
      </c>
      <c r="E839" s="466" t="s">
        <v>625</v>
      </c>
      <c r="F839" s="405" t="s">
        <v>626</v>
      </c>
      <c r="G839" s="321" t="s">
        <v>671</v>
      </c>
    </row>
    <row r="840" spans="1:13" ht="12" customHeight="1">
      <c r="B840" s="321" t="s">
        <v>706</v>
      </c>
      <c r="C840" s="422">
        <f>INDEX(H347:H406,MATCH(B824,E347:E406,0))</f>
        <v>466</v>
      </c>
      <c r="D840" s="422" t="str">
        <f>INDEX($D$494:$D$620,MATCH(B824,$C$494:$C$620,0))</f>
        <v>壁</v>
      </c>
      <c r="E840" s="422">
        <f>INDEX($E$494:$E$620,MATCH(B824,$C$494:$C$620,0))</f>
        <v>3</v>
      </c>
      <c r="F840" s="474">
        <f>INDEX($F$494:$F$620,MATCH(B824,$C$494:$C$620,0))</f>
        <v>466</v>
      </c>
      <c r="G840" s="569">
        <f>INDEX(lodge.dipper.du,MATCH('The Text'!D840,lodge.names,0))+E840+F840/蔀月</f>
        <v>92.745744680851061</v>
      </c>
    </row>
    <row r="841" spans="1:13" ht="12" customHeight="1">
      <c r="C841" s="321" t="s">
        <v>690</v>
      </c>
      <c r="D841" s="321" t="str">
        <f>INDEX(lodge.names,MATCH(G841,lodge.dipper.du,1))</f>
        <v>壁</v>
      </c>
      <c r="E841" s="321">
        <f>INT(((G841-INDEX(lodge.dipper.du,MATCH(D841,lodge.names,0)))*蔀月)/蔀月)</f>
        <v>3</v>
      </c>
      <c r="F841" s="462">
        <f>MOD((G841-INDEX(lodge.dipper.du,MATCH(D841,lodge.names,0)))*蔀月,蔀月)</f>
        <v>0</v>
      </c>
      <c r="G841" s="569">
        <f>MOD(G840-C840/蔀月,mean_solar_year)</f>
        <v>92.25</v>
      </c>
    </row>
    <row r="842" spans="1:13" ht="12" customHeight="1">
      <c r="C842" s="559">
        <f>$D$824-1</f>
        <v>1</v>
      </c>
      <c r="D842" s="321" t="str">
        <f>INDEX(lodge.names,MATCH(G842,lodge.dipper.du,1))</f>
        <v>壁</v>
      </c>
      <c r="E842" s="321">
        <f>INT(((G842-INDEX(lodge.dipper.du,MATCH(D842,lodge.names,0)))*蔀月)/蔀月)</f>
        <v>4</v>
      </c>
      <c r="F842" s="462">
        <f>MOD((G842-INDEX(lodge.dipper.du,MATCH(D842,lodge.names,0)))*蔀月,蔀月)</f>
        <v>0</v>
      </c>
      <c r="G842" s="569">
        <f>MOD(G841+C842,mean_solar_year)</f>
        <v>93.25</v>
      </c>
    </row>
    <row r="843" spans="1:13" ht="12" customHeight="1">
      <c r="K843" s="321" t="s">
        <v>671</v>
      </c>
    </row>
    <row r="844" spans="1:13" ht="12" customHeight="1">
      <c r="B844" t="s">
        <v>691</v>
      </c>
      <c r="H844" s="321" t="str">
        <f>INDEX(lodge.names,MATCH(K844,lodge.dipper.du,1))</f>
        <v>壁</v>
      </c>
      <c r="I844" s="321">
        <f>INT(((K844-INDEX(lodge.dipper.du,MATCH(H844,lodge.names,0)))*蔀法)/蔀法)</f>
        <v>4</v>
      </c>
      <c r="J844" s="462">
        <f>MOD((K844-INDEX(lodge.dipper.du,MATCH(H844,lodge.names,0)))*蔀法,蔀法)</f>
        <v>18.000000000000512</v>
      </c>
      <c r="K844" s="548">
        <f>MOD(G842+I836/蔀法,mean_solar_year)</f>
        <v>93.486842105263165</v>
      </c>
    </row>
    <row r="845" spans="1:13" ht="12" customHeight="1"/>
    <row r="846" spans="1:13" s="451" customFormat="1" ht="12" customHeight="1">
      <c r="A846" s="449" t="s">
        <v>693</v>
      </c>
      <c r="B846" s="450" t="s">
        <v>694</v>
      </c>
    </row>
    <row r="847" spans="1:13" s="524" customFormat="1" ht="12" customHeight="1">
      <c r="A847" s="452" t="s">
        <v>699</v>
      </c>
      <c r="B847" s="453" t="s">
        <v>695</v>
      </c>
      <c r="C847" s="453"/>
      <c r="D847" s="453"/>
      <c r="E847" s="453"/>
      <c r="F847" s="453"/>
      <c r="G847" s="453"/>
      <c r="I847" s="562">
        <f>蔀法-I836</f>
        <v>58</v>
      </c>
      <c r="J847" s="561"/>
      <c r="K847" s="561"/>
      <c r="L847" s="561"/>
      <c r="M847" s="561"/>
    </row>
    <row r="848" spans="1:13" ht="12" customHeight="1"/>
    <row r="849" spans="1:11" ht="12" customHeight="1">
      <c r="B849" s="871" t="s">
        <v>701</v>
      </c>
      <c r="C849" s="871"/>
      <c r="D849" s="871"/>
      <c r="E849" s="871"/>
      <c r="F849" s="871"/>
      <c r="G849" s="871"/>
    </row>
    <row r="850" spans="1:11" ht="12" customHeight="1">
      <c r="K850" s="321" t="s">
        <v>671</v>
      </c>
    </row>
    <row r="851" spans="1:11" ht="12" customHeight="1">
      <c r="B851" t="s">
        <v>696</v>
      </c>
      <c r="H851" s="321" t="str">
        <f>INDEX(lodge.names,MATCH(K851,lodge.dipper.du,1))</f>
        <v>壁</v>
      </c>
      <c r="I851" s="321">
        <f>INT(((K851-INDEX(lodge.dipper.du,MATCH(H851,lodge.names,0)))*蔀法)/蔀法)</f>
        <v>4</v>
      </c>
      <c r="J851" s="462">
        <f>MOD((K851-INDEX(lodge.dipper.du,MATCH(H851,lodge.names,0)))*蔀法,蔀法)</f>
        <v>57.999999999999488</v>
      </c>
      <c r="K851" s="548">
        <f>MOD(G842+I847/蔀法,mean_solar_year)</f>
        <v>94.013157894736835</v>
      </c>
    </row>
    <row r="852" spans="1:11" s="79" customFormat="1" ht="12" customHeight="1">
      <c r="A852" s="100"/>
      <c r="B852" s="51"/>
      <c r="C852" s="80"/>
      <c r="D852" s="80"/>
      <c r="E852" s="80"/>
      <c r="F852" s="80"/>
      <c r="G852" s="15"/>
      <c r="H852" s="15"/>
      <c r="I852" s="15"/>
      <c r="J852" s="15"/>
      <c r="K852" s="15"/>
    </row>
    <row r="853" spans="1:11" s="451" customFormat="1" ht="12" customHeight="1">
      <c r="A853" s="449" t="s">
        <v>697</v>
      </c>
      <c r="B853" s="450" t="s">
        <v>698</v>
      </c>
    </row>
    <row r="854" spans="1:11" ht="12" customHeight="1">
      <c r="A854" s="452" t="s">
        <v>700</v>
      </c>
      <c r="B854" t="s">
        <v>702</v>
      </c>
      <c r="I854" s="556">
        <f>I819</f>
        <v>49</v>
      </c>
    </row>
    <row r="855" spans="1:11" ht="12" customHeight="1"/>
    <row r="856" spans="1:11" ht="12" customHeight="1">
      <c r="B856" s="871" t="s">
        <v>701</v>
      </c>
      <c r="C856" s="871"/>
      <c r="D856" s="871"/>
      <c r="E856" s="871"/>
      <c r="F856" s="871"/>
      <c r="G856" s="871"/>
    </row>
    <row r="857" spans="1:11" ht="12" customHeight="1"/>
    <row r="858" spans="1:11" ht="12" customHeight="1">
      <c r="B858" t="s">
        <v>660</v>
      </c>
      <c r="I858">
        <f>I854*月周</f>
        <v>49784</v>
      </c>
    </row>
    <row r="859" spans="1:11" ht="12" customHeight="1">
      <c r="B859" t="s">
        <v>703</v>
      </c>
      <c r="I859" s="321">
        <f>INT(I858/200)</f>
        <v>248</v>
      </c>
      <c r="J859" s="462">
        <f>MOD(I858,200)</f>
        <v>184</v>
      </c>
      <c r="K859" t="s">
        <v>717</v>
      </c>
    </row>
    <row r="860" spans="1:11" ht="12" customHeight="1">
      <c r="B860" t="s">
        <v>704</v>
      </c>
      <c r="I860" s="321">
        <f>INT(I859/蔀法)</f>
        <v>3</v>
      </c>
      <c r="J860" s="462">
        <f>MOD(I859,蔀法)</f>
        <v>20</v>
      </c>
    </row>
    <row r="861" spans="1:11" ht="12" customHeight="1"/>
    <row r="862" spans="1:11" ht="29.4" customHeight="1">
      <c r="B862" s="910" t="s">
        <v>705</v>
      </c>
      <c r="C862" s="910"/>
      <c r="D862" s="910"/>
      <c r="E862" s="910"/>
      <c r="F862" s="910"/>
      <c r="G862" s="910"/>
    </row>
    <row r="863" spans="1:11" ht="12" customHeight="1">
      <c r="D863" s="406" t="s">
        <v>621</v>
      </c>
      <c r="E863" s="466" t="s">
        <v>625</v>
      </c>
      <c r="F863" s="405" t="s">
        <v>626</v>
      </c>
      <c r="G863" s="321" t="s">
        <v>671</v>
      </c>
    </row>
    <row r="864" spans="1:11" ht="12" customHeight="1">
      <c r="C864" s="321" t="s">
        <v>690</v>
      </c>
      <c r="D864" s="422" t="str">
        <f>INDEX(D791:D805,MATCH(B824,C791:C805,0))</f>
        <v>室</v>
      </c>
      <c r="E864" s="422">
        <f>INDEX(E791:E805,MATCH(B824,C791:C805,0))</f>
        <v>12</v>
      </c>
      <c r="F864" s="474">
        <f>INDEX(F791:F805,MATCH(B824,C791:C805,0))</f>
        <v>65.999999999989996</v>
      </c>
      <c r="G864" s="569">
        <f>INDEX(lodge.dipper.du,MATCH('The Text'!D864,lodge.names,0))+E864+F864/蔀法</f>
        <v>86.118421052631447</v>
      </c>
    </row>
    <row r="865" spans="1:11" ht="12" customHeight="1">
      <c r="C865" s="559">
        <f>$D$824-1</f>
        <v>1</v>
      </c>
      <c r="D865" s="321" t="str">
        <f>INDEX(lodge.names,MATCH(G865,lodge.dipper.du,1))</f>
        <v>奎</v>
      </c>
      <c r="E865" s="321">
        <f>INT(((G865-INDEX(lodge.dipper.du,MATCH(D865,lodge.names,0)))*蔀月)/蔀月)</f>
        <v>1</v>
      </c>
      <c r="F865" s="462">
        <f>MOD((G865-INDEX(lodge.dipper.du,MATCH(D865,lodge.names,0)))*蔀法,蔀法)</f>
        <v>17.999999999989711</v>
      </c>
      <c r="G865" s="569">
        <f>MOD(G864+C865*(13+28/蔀法),mean_solar_year)</f>
        <v>99.486842105263023</v>
      </c>
    </row>
    <row r="866" spans="1:11" ht="12" customHeight="1"/>
    <row r="867" spans="1:11" ht="28.2" customHeight="1">
      <c r="B867" s="910" t="s">
        <v>711</v>
      </c>
      <c r="C867" s="910"/>
      <c r="D867" s="910"/>
      <c r="E867" s="910"/>
      <c r="F867" s="910"/>
      <c r="G867" s="910"/>
    </row>
    <row r="868" spans="1:11" ht="15.6" customHeight="1" thickBot="1">
      <c r="B868" s="532"/>
      <c r="C868" s="532"/>
      <c r="D868" s="532"/>
      <c r="E868" s="532"/>
      <c r="F868" s="532"/>
      <c r="G868" s="532"/>
    </row>
    <row r="869" spans="1:11" ht="13.8" thickBot="1">
      <c r="B869" s="532"/>
      <c r="C869" s="532" t="s">
        <v>712</v>
      </c>
      <c r="D869" s="554" t="s">
        <v>692</v>
      </c>
      <c r="E869" s="532"/>
      <c r="F869" s="532"/>
      <c r="G869" s="532"/>
    </row>
    <row r="870" spans="1:11">
      <c r="B870" s="532"/>
      <c r="C870" s="532"/>
      <c r="D870" s="532"/>
      <c r="E870" s="532"/>
      <c r="F870" s="532"/>
      <c r="G870" s="532"/>
    </row>
    <row r="871" spans="1:11" ht="12.6" customHeight="1">
      <c r="K871" s="321" t="s">
        <v>671</v>
      </c>
    </row>
    <row r="872" spans="1:11" ht="12.6" customHeight="1">
      <c r="B872" t="s">
        <v>710</v>
      </c>
      <c r="H872" s="321" t="str">
        <f>INDEX(lodge.names,MATCH(K872,lodge.dipper.du,1))</f>
        <v>奎</v>
      </c>
      <c r="I872" s="321">
        <f>INT(((K872-INDEX(lodge.dipper.du,MATCH(H872,lodge.names,0)))*蔀法)/蔀法)</f>
        <v>4</v>
      </c>
      <c r="J872" s="462">
        <f>MOD((K872-INDEX(lodge.dipper.du,MATCH(H872,lodge.names,0)))*蔀法,蔀法)</f>
        <v>37.9999999999892</v>
      </c>
      <c r="K872" s="569">
        <f>MOD(G865+IF(D869="leave",I860+J860/蔀法,IF(D869="round",ROUND(I860+J860/蔀法,0),INT(I860+J860/蔀法))),mean_solar_year)</f>
        <v>102.74999999999986</v>
      </c>
    </row>
    <row r="873" spans="1:11" ht="12.6" customHeight="1"/>
    <row r="874" spans="1:11" s="451" customFormat="1" ht="12.6" customHeight="1">
      <c r="A874" s="449" t="s">
        <v>713</v>
      </c>
      <c r="B874" s="450" t="s">
        <v>714</v>
      </c>
    </row>
    <row r="875" spans="1:11" ht="12.6" customHeight="1">
      <c r="A875" s="321" t="s">
        <v>715</v>
      </c>
      <c r="B875" t="s">
        <v>716</v>
      </c>
      <c r="I875">
        <f>月周-I859</f>
        <v>768</v>
      </c>
    </row>
    <row r="876" spans="1:11" ht="12.6" customHeight="1"/>
    <row r="877" spans="1:11" ht="27" customHeight="1">
      <c r="B877" s="871" t="s">
        <v>720</v>
      </c>
      <c r="C877" s="871"/>
      <c r="D877" s="871"/>
      <c r="E877" s="871"/>
      <c r="F877" s="871"/>
      <c r="G877" s="871"/>
    </row>
    <row r="878" spans="1:11" ht="13.2" customHeight="1"/>
    <row r="879" spans="1:11" ht="13.2" customHeight="1">
      <c r="B879" t="s">
        <v>718</v>
      </c>
      <c r="I879" s="321">
        <f>INT(I875/蔀法)</f>
        <v>10</v>
      </c>
      <c r="J879" s="462">
        <f>MOD(I875,蔀法)</f>
        <v>8</v>
      </c>
    </row>
    <row r="880" spans="1:11" ht="13.2" customHeight="1">
      <c r="K880" s="321" t="s">
        <v>671</v>
      </c>
    </row>
    <row r="881" spans="1:11" ht="13.2" customHeight="1">
      <c r="B881" t="s">
        <v>719</v>
      </c>
      <c r="H881" s="321" t="str">
        <f>INDEX(lodge.names,MATCH(K881,lodge.dipper.du,1))</f>
        <v>奎</v>
      </c>
      <c r="I881" s="321">
        <f>INT(((K881-INDEX(lodge.dipper.du,MATCH(H881,lodge.names,0)))*蔀法)/蔀法)</f>
        <v>11</v>
      </c>
      <c r="J881" s="462">
        <f>MOD((K881-INDEX(lodge.dipper.du,MATCH(H881,lodge.names,0)))*蔀法,蔀法)</f>
        <v>25.999999999989996</v>
      </c>
      <c r="K881" s="569">
        <f>G865+IF(D869="leave",I879+J879/蔀法,IF(D869="round",ROUND(I879+J879/蔀法,0),INT(I879+J879/蔀法)))</f>
        <v>109.59210526315776</v>
      </c>
    </row>
    <row r="882" spans="1:11" s="79" customFormat="1" ht="13.2" customHeight="1">
      <c r="A882" s="77"/>
      <c r="B882" s="81"/>
      <c r="C882" s="80"/>
      <c r="D882" s="80"/>
      <c r="E882" s="80"/>
      <c r="F882" s="80"/>
      <c r="G882" s="80"/>
      <c r="H882"/>
      <c r="I882"/>
      <c r="J882"/>
      <c r="K882"/>
    </row>
    <row r="883" spans="1:11" s="451" customFormat="1" ht="13.2" customHeight="1">
      <c r="A883" s="449" t="s">
        <v>721</v>
      </c>
      <c r="B883" s="450" t="s">
        <v>722</v>
      </c>
    </row>
    <row r="884" spans="1:11" ht="13.2" customHeight="1">
      <c r="A884" s="321" t="s">
        <v>723</v>
      </c>
      <c r="B884" t="s">
        <v>727</v>
      </c>
      <c r="H884" s="422" t="str">
        <f>INDEX($D$494:$D$622,MATCH(D888,$C$494:$C$622,1))</f>
        <v>虛</v>
      </c>
      <c r="I884" s="422">
        <f>INDEX($E$494:$E$622,MATCH(D888,$C$494:$C$622,1))</f>
        <v>35</v>
      </c>
      <c r="J884" s="526">
        <f>INDEX($F$494:$F$622,MATCH(D888,$C$494:$C$622,1))</f>
        <v>579</v>
      </c>
      <c r="K884" s="569">
        <f>MOD(INDEX(lodge.dipper.du,MATCH(H884,lodge.names,0))+I884+J884/蔀月,mean_solar_year)</f>
        <v>81.865957446808508</v>
      </c>
    </row>
    <row r="885" spans="1:11" ht="13.2" customHeight="1"/>
    <row r="886" spans="1:11" ht="37.5" customHeight="1">
      <c r="B886" s="871" t="s">
        <v>737</v>
      </c>
      <c r="C886" s="871"/>
      <c r="D886" s="871"/>
      <c r="E886" s="871"/>
      <c r="F886" s="871"/>
      <c r="G886" s="871"/>
    </row>
    <row r="887" spans="1:11" ht="13.8" thickBot="1">
      <c r="B887" s="563"/>
      <c r="C887" s="563"/>
      <c r="D887" s="563"/>
      <c r="E887" s="563"/>
      <c r="F887" s="563"/>
      <c r="G887" s="563"/>
    </row>
    <row r="888" spans="1:11" ht="13.8" thickBot="1">
      <c r="B888" s="549"/>
      <c r="C888" s="568" t="s">
        <v>724</v>
      </c>
      <c r="D888" s="554" t="s">
        <v>62</v>
      </c>
      <c r="E888" s="532"/>
      <c r="F888" s="532"/>
      <c r="G888" s="532"/>
    </row>
    <row r="889" spans="1:11">
      <c r="B889" s="563"/>
      <c r="C889" s="563"/>
      <c r="D889" s="563"/>
      <c r="E889" s="563"/>
      <c r="F889" s="563"/>
      <c r="G889" s="563"/>
    </row>
    <row r="890" spans="1:11" ht="13.2" customHeight="1"/>
    <row r="891" spans="1:11" ht="13.2" customHeight="1">
      <c r="B891" t="s">
        <v>726</v>
      </c>
      <c r="H891" s="321" t="str">
        <f>INDEX(lodge.names,MATCH(K891,lodge.dipper.du,1))</f>
        <v>室</v>
      </c>
      <c r="I891" s="321">
        <f>INT(((K891-INDEX(lodge.dipper.du,MATCH(H891,lodge.names,0)))*蔀月)/蔀月)</f>
        <v>15</v>
      </c>
      <c r="J891" s="570">
        <f>MOD((K891-INDEX(lodge.dipper.du,MATCH(H891,lodge.names,0)))*蔀月,蔀月)</f>
        <v>938.75</v>
      </c>
      <c r="K891" s="569">
        <f>MOD(K884+7+359.75/蔀月,mean_solar_year)</f>
        <v>89.248670212765958</v>
      </c>
    </row>
    <row r="892" spans="1:11" ht="13.2" customHeight="1">
      <c r="J892" s="571"/>
    </row>
    <row r="893" spans="1:11" ht="13.2" customHeight="1">
      <c r="A893" s="405" t="s">
        <v>730</v>
      </c>
      <c r="B893" s="405" t="s">
        <v>734</v>
      </c>
      <c r="J893" s="571"/>
    </row>
    <row r="894" spans="1:11" ht="13.2" customHeight="1">
      <c r="A894" s="321" t="s">
        <v>732</v>
      </c>
      <c r="B894" t="s">
        <v>733</v>
      </c>
      <c r="G894" s="406" t="s">
        <v>728</v>
      </c>
      <c r="H894" s="321" t="str">
        <f>INDEX(lodge.names,MATCH(K894,lodge.dipper.du,1))</f>
        <v>壁</v>
      </c>
      <c r="I894" s="321">
        <f>INT(((K894-INDEX(lodge.dipper.du,MATCH(H894,lodge.names,0)))*蔀月)/蔀月)</f>
        <v>7</v>
      </c>
      <c r="J894" s="570">
        <f>MOD((K894-INDEX(lodge.dipper.du,MATCH(H894,lodge.names,0)))*蔀月,蔀月)</f>
        <v>358.50000000000364</v>
      </c>
      <c r="K894" s="569">
        <f>MOD(K891+7+359.75/蔀月,mean_solar_year)</f>
        <v>96.631382978723408</v>
      </c>
    </row>
    <row r="895" spans="1:11" ht="13.2" customHeight="1">
      <c r="G895" s="406" t="s">
        <v>729</v>
      </c>
      <c r="H895" s="321" t="str">
        <f>INDEX(lodge.names,MATCH(K895,lodge.dipper.du,1))</f>
        <v>奎</v>
      </c>
      <c r="I895" s="321">
        <f>INT(((K895-INDEX(lodge.dipper.du,MATCH(H895,lodge.names,0)))*蔀月)/蔀月)</f>
        <v>5</v>
      </c>
      <c r="J895" s="570">
        <f>MOD((K895-INDEX(lodge.dipper.du,MATCH(H895,lodge.names,0)))*蔀月,蔀月)</f>
        <v>718.25000000000728</v>
      </c>
      <c r="K895" s="569">
        <f>MOD(K894+7+359.75/蔀月,mean_solar_year)</f>
        <v>104.01409574468086</v>
      </c>
    </row>
    <row r="896" spans="1:11" ht="13.2" customHeight="1"/>
    <row r="897" spans="1:16" s="451" customFormat="1" ht="13.2" customHeight="1">
      <c r="A897" s="449" t="s">
        <v>735</v>
      </c>
      <c r="B897" s="450" t="s">
        <v>731</v>
      </c>
    </row>
    <row r="898" spans="1:16" s="79" customFormat="1" ht="13.2" customHeight="1">
      <c r="A898" s="321" t="s">
        <v>736</v>
      </c>
      <c r="B898" t="s">
        <v>738</v>
      </c>
      <c r="C898"/>
      <c r="D898"/>
      <c r="E898"/>
      <c r="F898"/>
      <c r="G898"/>
      <c r="H898" s="422" t="str">
        <f>H884</f>
        <v>虛</v>
      </c>
      <c r="I898" s="422">
        <f>I884</f>
        <v>35</v>
      </c>
      <c r="J898" s="526">
        <f>J884</f>
        <v>579</v>
      </c>
      <c r="K898" s="569">
        <f>K884</f>
        <v>81.865957446808508</v>
      </c>
      <c r="L898"/>
    </row>
    <row r="899" spans="1:16" s="79" customFormat="1" ht="13.2" customHeight="1">
      <c r="A899" s="321"/>
      <c r="B899"/>
      <c r="C899"/>
      <c r="D899"/>
      <c r="E899"/>
      <c r="F899"/>
      <c r="G899"/>
      <c r="H899"/>
      <c r="I899"/>
      <c r="J899"/>
      <c r="K899"/>
      <c r="L899"/>
    </row>
    <row r="900" spans="1:16" s="79" customFormat="1" ht="13.2" customHeight="1">
      <c r="A900" s="321"/>
      <c r="B900" t="s">
        <v>739</v>
      </c>
      <c r="C900"/>
      <c r="D900"/>
      <c r="E900"/>
      <c r="F900"/>
      <c r="G900"/>
      <c r="H900" s="321" t="str">
        <f>INDEX(lodge.names,MATCH(K900,lodge.dipper.du,1))</f>
        <v>井</v>
      </c>
      <c r="I900" s="321">
        <f>INT(((K900-INDEX(lodge.dipper.du,MATCH(H900,lodge.names,0)))*蔀月)/蔀月)</f>
        <v>2</v>
      </c>
      <c r="J900" s="570">
        <f>MOD((K900-INDEX(lodge.dipper.du,MATCH(H900,lodge.names,0)))*蔀月,蔀月)</f>
        <v>292.5000000000141</v>
      </c>
      <c r="K900" s="569">
        <f>MOD(K898+98+653.5/蔀月,mean_solar_year)</f>
        <v>180.56117021276597</v>
      </c>
      <c r="L900"/>
    </row>
    <row r="901" spans="1:16" s="79" customFormat="1" ht="13.2" customHeight="1">
      <c r="A901" s="77"/>
      <c r="B901"/>
      <c r="C901"/>
      <c r="D901"/>
      <c r="E901"/>
      <c r="F901"/>
      <c r="G901"/>
      <c r="H901"/>
      <c r="I901"/>
      <c r="J901"/>
      <c r="K901"/>
    </row>
    <row r="902" spans="1:16" s="79" customFormat="1" ht="13.2" customHeight="1">
      <c r="A902" s="522" t="s">
        <v>742</v>
      </c>
      <c r="B902" s="405" t="s">
        <v>734</v>
      </c>
      <c r="C902"/>
      <c r="D902"/>
      <c r="E902"/>
      <c r="F902"/>
      <c r="G902"/>
      <c r="H902"/>
      <c r="I902"/>
      <c r="J902"/>
      <c r="K902"/>
    </row>
    <row r="903" spans="1:16" s="79" customFormat="1" ht="13.2" customHeight="1">
      <c r="A903" s="321" t="s">
        <v>743</v>
      </c>
      <c r="B903" t="s">
        <v>741</v>
      </c>
      <c r="C903"/>
      <c r="D903"/>
      <c r="E903"/>
      <c r="F903"/>
      <c r="G903" s="406" t="s">
        <v>728</v>
      </c>
      <c r="H903" s="321" t="str">
        <f>INDEX(lodge.names,MATCH(K903,lodge.dipper.du,1))</f>
        <v>軫</v>
      </c>
      <c r="I903" s="321">
        <f>INT(((K903-INDEX(lodge.dipper.du,MATCH(H903,lodge.names,0)))*蔀月)/蔀月)</f>
        <v>6</v>
      </c>
      <c r="J903" s="570">
        <f>MOD((K903-INDEX(lodge.dipper.du,MATCH(H903,lodge.names,0)))*蔀月,蔀月)</f>
        <v>6.0000000000172804</v>
      </c>
      <c r="K903" s="569">
        <f>MOD(K900+98+653.5/蔀月,mean_solar_year)</f>
        <v>279.25638297872342</v>
      </c>
    </row>
    <row r="904" spans="1:16" s="79" customFormat="1" ht="13.2" customHeight="1">
      <c r="A904" s="77"/>
      <c r="B904"/>
      <c r="C904"/>
      <c r="D904"/>
      <c r="E904"/>
      <c r="F904"/>
      <c r="G904" s="406" t="s">
        <v>729</v>
      </c>
      <c r="H904" s="321" t="str">
        <f>INDEX(lodge.names,MATCH(K904,lodge.dipper.du,1))</f>
        <v>斗</v>
      </c>
      <c r="I904" s="321">
        <f>INT(((K904-INDEX(lodge.dipper.du,MATCH(H904,lodge.names,0)))*蔀月)/蔀月)</f>
        <v>12</v>
      </c>
      <c r="J904" s="570">
        <f>MOD((K904-INDEX(lodge.dipper.du,MATCH(H904,lodge.names,0)))*蔀月,蔀月)</f>
        <v>659.49999999999272</v>
      </c>
      <c r="K904" s="569">
        <f>MOD(K903+98+653.5/蔀月,mean_solar_year)</f>
        <v>12.701595744680844</v>
      </c>
    </row>
    <row r="905" spans="1:16" s="79" customFormat="1" ht="13.2" customHeight="1" thickBot="1">
      <c r="A905" s="77"/>
      <c r="B905"/>
      <c r="C905" s="80"/>
      <c r="D905" s="80"/>
      <c r="E905" s="80"/>
      <c r="F905" s="80"/>
      <c r="G905" s="80"/>
    </row>
    <row r="906" spans="1:16" s="29" customFormat="1" ht="21">
      <c r="A906" s="28"/>
      <c r="B906" s="29" t="s">
        <v>112</v>
      </c>
      <c r="C906" s="29" t="s">
        <v>113</v>
      </c>
      <c r="D906" s="585"/>
      <c r="E906" s="585"/>
      <c r="F906" s="585"/>
      <c r="G906" s="585"/>
      <c r="H906" s="585"/>
      <c r="I906" s="585"/>
      <c r="J906" s="585"/>
    </row>
    <row r="907" spans="1:16" s="79" customFormat="1" ht="14.4" thickTop="1">
      <c r="A907" s="77"/>
      <c r="B907" s="90"/>
    </row>
    <row r="908" spans="1:16" s="451" customFormat="1">
      <c r="A908" s="449" t="s">
        <v>764</v>
      </c>
      <c r="B908" s="450" t="s">
        <v>765</v>
      </c>
    </row>
    <row r="909" spans="1:16" s="79" customFormat="1">
      <c r="A909" s="321" t="s">
        <v>773</v>
      </c>
      <c r="B909" t="s">
        <v>766</v>
      </c>
      <c r="C909"/>
      <c r="D909"/>
      <c r="E909"/>
      <c r="F909"/>
      <c r="G909"/>
      <c r="H909"/>
      <c r="I909">
        <f>入蔀會年-IF(D913="減一",1)</f>
        <v>292</v>
      </c>
      <c r="J909"/>
      <c r="K909"/>
      <c r="L909"/>
      <c r="M909"/>
      <c r="N909"/>
      <c r="O909"/>
      <c r="P909"/>
    </row>
    <row r="910" spans="1:16" s="26" customFormat="1">
      <c r="A910" s="47"/>
      <c r="B910"/>
      <c r="C910"/>
      <c r="D910"/>
      <c r="E910"/>
      <c r="F910"/>
      <c r="G910"/>
      <c r="H910"/>
      <c r="I910"/>
      <c r="J910"/>
      <c r="K910"/>
      <c r="L910"/>
      <c r="M910"/>
      <c r="N910"/>
      <c r="O910"/>
      <c r="P910"/>
    </row>
    <row r="911" spans="1:16" s="26" customFormat="1" ht="55.2" customHeight="1">
      <c r="A911" s="47"/>
      <c r="B911" s="871" t="s">
        <v>837</v>
      </c>
      <c r="C911" s="871"/>
      <c r="D911" s="871"/>
      <c r="E911" s="871"/>
      <c r="F911" s="871"/>
      <c r="G911" s="871"/>
      <c r="H911"/>
      <c r="I911"/>
      <c r="J911"/>
      <c r="K911"/>
      <c r="L911"/>
      <c r="M911"/>
      <c r="N911"/>
      <c r="O911"/>
      <c r="P911"/>
    </row>
    <row r="912" spans="1:16" s="26" customFormat="1" ht="13.2" customHeight="1" thickBot="1">
      <c r="A912" s="47"/>
      <c r="B912" s="563"/>
      <c r="C912" s="563"/>
      <c r="D912" s="563"/>
      <c r="E912" s="563"/>
      <c r="F912" s="563"/>
      <c r="G912" s="563"/>
      <c r="H912"/>
      <c r="I912"/>
      <c r="J912"/>
      <c r="K912"/>
      <c r="L912"/>
      <c r="M912"/>
      <c r="N912"/>
      <c r="O912"/>
      <c r="P912"/>
    </row>
    <row r="913" spans="1:16" s="26" customFormat="1" ht="13.2" customHeight="1" thickBot="1">
      <c r="A913" s="47"/>
      <c r="B913" s="549"/>
      <c r="C913" s="568" t="s">
        <v>724</v>
      </c>
      <c r="D913" s="554" t="s">
        <v>767</v>
      </c>
      <c r="E913" s="532"/>
      <c r="F913" s="532"/>
      <c r="G913" s="532"/>
      <c r="H913"/>
      <c r="I913"/>
      <c r="J913"/>
      <c r="K913"/>
      <c r="L913"/>
      <c r="M913"/>
      <c r="N913"/>
      <c r="O913"/>
      <c r="P913"/>
    </row>
    <row r="914" spans="1:16" s="26" customFormat="1" ht="13.2" customHeight="1">
      <c r="A914" s="47"/>
      <c r="B914" s="563"/>
      <c r="C914" s="563"/>
      <c r="D914" s="563"/>
      <c r="E914" s="563"/>
      <c r="F914" s="563"/>
      <c r="G914" s="563"/>
      <c r="H914"/>
      <c r="I914"/>
      <c r="J914"/>
      <c r="K914"/>
      <c r="L914"/>
      <c r="M914"/>
      <c r="N914"/>
      <c r="O914"/>
      <c r="P914"/>
    </row>
    <row r="915" spans="1:16" s="26" customFormat="1" ht="13.2" customHeight="1">
      <c r="A915" s="47"/>
      <c r="B915"/>
      <c r="C915"/>
      <c r="D915"/>
      <c r="E915"/>
      <c r="F915"/>
      <c r="G915"/>
      <c r="H915"/>
      <c r="I915"/>
      <c r="J915"/>
      <c r="K915"/>
      <c r="L915"/>
      <c r="M915"/>
      <c r="N915"/>
      <c r="O915"/>
      <c r="P915"/>
    </row>
    <row r="916" spans="1:16" s="26" customFormat="1" ht="13.2" customHeight="1">
      <c r="A916" s="47"/>
      <c r="B916" t="s">
        <v>768</v>
      </c>
      <c r="C916"/>
      <c r="D916"/>
      <c r="E916"/>
      <c r="F916"/>
      <c r="G916"/>
      <c r="H916"/>
      <c r="I916">
        <f>I909*食數</f>
        <v>315652</v>
      </c>
      <c r="J916"/>
      <c r="K916"/>
      <c r="L916"/>
      <c r="M916"/>
      <c r="N916"/>
      <c r="O916"/>
      <c r="P916"/>
    </row>
    <row r="917" spans="1:16" s="26" customFormat="1" ht="13.2" customHeight="1">
      <c r="A917" s="47"/>
      <c r="B917" t="s">
        <v>769</v>
      </c>
      <c r="C917"/>
      <c r="D917"/>
      <c r="E917"/>
      <c r="F917"/>
      <c r="G917"/>
      <c r="H917"/>
      <c r="I917" s="321">
        <f>INT(I916/歲數)</f>
        <v>615</v>
      </c>
      <c r="J917" s="570">
        <f>MOD(I916,歲數)</f>
        <v>157</v>
      </c>
      <c r="K917"/>
      <c r="L917"/>
      <c r="M917"/>
      <c r="N917"/>
      <c r="O917"/>
      <c r="P917"/>
    </row>
    <row r="918" spans="1:16" s="26" customFormat="1" ht="13.2" customHeight="1">
      <c r="A918" s="47"/>
      <c r="B918"/>
      <c r="C918"/>
      <c r="D918"/>
      <c r="E918"/>
      <c r="F918"/>
      <c r="G918"/>
      <c r="H918"/>
      <c r="I918"/>
      <c r="J918"/>
      <c r="K918"/>
      <c r="L918"/>
      <c r="M918"/>
      <c r="N918"/>
      <c r="O918"/>
      <c r="P918"/>
    </row>
    <row r="919" spans="1:16" s="26" customFormat="1" ht="13.2" customHeight="1">
      <c r="A919" s="321" t="s">
        <v>774</v>
      </c>
      <c r="B919" t="s">
        <v>770</v>
      </c>
      <c r="C919"/>
      <c r="D919"/>
      <c r="E919"/>
      <c r="F919"/>
      <c r="G919"/>
      <c r="H919"/>
      <c r="I919">
        <f>積食*月數</f>
        <v>83025</v>
      </c>
      <c r="J919"/>
      <c r="K919"/>
      <c r="L919"/>
      <c r="M919"/>
      <c r="N919"/>
      <c r="O919"/>
      <c r="P919"/>
    </row>
    <row r="920" spans="1:16" s="26" customFormat="1" ht="13.2" customHeight="1">
      <c r="A920" s="47"/>
      <c r="B920" t="s">
        <v>771</v>
      </c>
      <c r="C920"/>
      <c r="D920"/>
      <c r="E920"/>
      <c r="F920"/>
      <c r="G920"/>
      <c r="H920"/>
      <c r="I920" s="321">
        <f>INT(I919/食法)</f>
        <v>3609</v>
      </c>
      <c r="J920" s="570">
        <f>MOD(I919,食法)</f>
        <v>18</v>
      </c>
      <c r="K920"/>
      <c r="L920"/>
      <c r="M920"/>
      <c r="N920"/>
      <c r="O920"/>
      <c r="P920"/>
    </row>
    <row r="921" spans="1:16" ht="13.2" customHeight="1"/>
    <row r="922" spans="1:16" ht="13.2" customHeight="1">
      <c r="A922" s="321" t="s">
        <v>781</v>
      </c>
      <c r="B922" t="s">
        <v>772</v>
      </c>
      <c r="I922" s="321">
        <f>INT(I920/章月)</f>
        <v>15</v>
      </c>
      <c r="J922" s="570">
        <f>MOD(I920,章月)</f>
        <v>84</v>
      </c>
    </row>
    <row r="923" spans="1:16" ht="13.2" customHeight="1">
      <c r="B923" t="s">
        <v>775</v>
      </c>
      <c r="I923">
        <f>入章月數-入章閏數</f>
        <v>82</v>
      </c>
      <c r="J923" s="570"/>
    </row>
    <row r="924" spans="1:16" ht="13.2" customHeight="1"/>
    <row r="925" spans="1:16" ht="13.2" customHeight="1">
      <c r="B925" s="871" t="s">
        <v>780</v>
      </c>
      <c r="C925" s="871"/>
      <c r="D925" s="871"/>
      <c r="E925" s="871"/>
      <c r="F925" s="871"/>
      <c r="G925" s="871"/>
    </row>
    <row r="926" spans="1:16" ht="13.2" customHeight="1"/>
    <row r="927" spans="1:16" ht="13.2" customHeight="1">
      <c r="B927" t="s">
        <v>776</v>
      </c>
      <c r="I927" s="208">
        <f>INT(I923/12)</f>
        <v>6</v>
      </c>
      <c r="J927" s="570">
        <f>MOD(I923,12)</f>
        <v>10</v>
      </c>
    </row>
    <row r="928" spans="1:16" ht="13.2" customHeight="1">
      <c r="B928" t="s">
        <v>777</v>
      </c>
      <c r="I928" s="588">
        <f>IF(J927+11&lt;12,J927+11,J927-1)</f>
        <v>9</v>
      </c>
      <c r="J928" s="382"/>
    </row>
    <row r="929" spans="1:17" ht="13.2" customHeight="1">
      <c r="I929" s="588"/>
      <c r="J929" s="382"/>
    </row>
    <row r="930" spans="1:17" ht="13.2" customHeight="1">
      <c r="A930" s="586" t="s">
        <v>778</v>
      </c>
      <c r="B930" s="76" t="s">
        <v>779</v>
      </c>
      <c r="C930" s="48"/>
      <c r="D930" s="48"/>
      <c r="E930" s="48"/>
      <c r="I930" s="382"/>
      <c r="J930" s="382"/>
    </row>
    <row r="931" spans="1:17" ht="13.2" customHeight="1">
      <c r="A931" s="321" t="s">
        <v>787</v>
      </c>
      <c r="B931" s="268" t="s">
        <v>782</v>
      </c>
      <c r="C931" s="268"/>
      <c r="D931" s="268"/>
      <c r="E931" s="268"/>
      <c r="I931" s="268">
        <f>入章月數</f>
        <v>84</v>
      </c>
      <c r="J931" s="268"/>
    </row>
    <row r="932" spans="1:17" ht="13.2" customHeight="1">
      <c r="A932" s="92"/>
      <c r="B932" s="48" t="s">
        <v>783</v>
      </c>
      <c r="C932" s="48"/>
      <c r="D932" s="48"/>
      <c r="E932" s="48"/>
      <c r="I932" s="268">
        <f>I931*章閏</f>
        <v>588</v>
      </c>
      <c r="J932" s="268"/>
    </row>
    <row r="933" spans="1:17" ht="13.2" customHeight="1">
      <c r="A933" s="92"/>
      <c r="B933" s="48" t="s">
        <v>784</v>
      </c>
      <c r="C933" s="48"/>
      <c r="D933" s="48"/>
      <c r="E933" s="48"/>
      <c r="I933" s="208">
        <f>INT(I932/章月)</f>
        <v>2</v>
      </c>
      <c r="J933" s="570">
        <f>MOD(I932,章月)</f>
        <v>118</v>
      </c>
    </row>
    <row r="934" spans="1:17" ht="13.2" customHeight="1">
      <c r="A934" s="92"/>
      <c r="B934" s="48"/>
      <c r="C934" s="48"/>
      <c r="D934" s="48"/>
      <c r="E934" s="48"/>
      <c r="I934" s="382"/>
      <c r="J934" s="382"/>
    </row>
    <row r="935" spans="1:17" ht="13.2" customHeight="1">
      <c r="A935" s="92"/>
      <c r="B935" s="48" t="s">
        <v>785</v>
      </c>
      <c r="C935" s="48"/>
      <c r="D935" s="48"/>
      <c r="E935" s="48"/>
      <c r="I935" s="208" t="b">
        <f>AND(J933&gt;=224,J933&lt;=231)</f>
        <v>0</v>
      </c>
      <c r="J935" s="382"/>
    </row>
    <row r="936" spans="1:17" ht="13.2" customHeight="1">
      <c r="A936" s="92"/>
      <c r="B936" s="48"/>
      <c r="C936" s="48"/>
      <c r="D936" s="48"/>
      <c r="E936" s="48"/>
      <c r="H936" s="321" t="s">
        <v>793</v>
      </c>
      <c r="I936" s="321" t="str">
        <f>CONCATENATE(IF(I935=TRUE(),"閏",""),CHOOSE(I928-I935,"正","二","三","四","五","六","七","八","九","十","十一","十二"),"月")</f>
        <v>九月</v>
      </c>
      <c r="J936" s="589"/>
    </row>
    <row r="937" spans="1:17" ht="13.2" customHeight="1">
      <c r="A937" s="92"/>
      <c r="B937" s="49" t="s">
        <v>115</v>
      </c>
      <c r="C937" s="48"/>
      <c r="D937" s="48"/>
      <c r="E937" s="48"/>
    </row>
    <row r="938" spans="1:17" ht="13.2" customHeight="1"/>
    <row r="939" spans="1:17" s="26" customFormat="1" ht="13.2" customHeight="1">
      <c r="A939" s="586" t="s">
        <v>786</v>
      </c>
      <c r="B939" s="405" t="s">
        <v>788</v>
      </c>
      <c r="C939"/>
      <c r="D939"/>
      <c r="E939"/>
      <c r="F939"/>
      <c r="G939"/>
      <c r="H939"/>
      <c r="I939"/>
      <c r="J939"/>
      <c r="K939"/>
      <c r="L939"/>
      <c r="M939"/>
      <c r="N939"/>
      <c r="O939"/>
      <c r="P939"/>
      <c r="Q939"/>
    </row>
    <row r="940" spans="1:17" s="26" customFormat="1" ht="13.2" customHeight="1">
      <c r="A940" s="321" t="s">
        <v>789</v>
      </c>
      <c r="B940" s="26" t="s">
        <v>794</v>
      </c>
      <c r="F940" s="48"/>
      <c r="G940" s="48"/>
      <c r="H940" s="48"/>
      <c r="I940" s="402">
        <f>食積月+5+IF(J940&lt;食積月餘分,1)</f>
        <v>3615</v>
      </c>
      <c r="J940" s="589">
        <f>MOD(食積月餘分+20,食法)</f>
        <v>15</v>
      </c>
      <c r="K940"/>
      <c r="L940"/>
      <c r="M940"/>
      <c r="N940"/>
      <c r="O940"/>
      <c r="P940"/>
      <c r="Q940"/>
    </row>
    <row r="941" spans="1:17" s="26" customFormat="1" ht="13.2" customHeight="1">
      <c r="A941" s="321"/>
      <c r="F941" s="48"/>
      <c r="G941" s="48"/>
      <c r="H941" s="48"/>
      <c r="I941"/>
      <c r="J941"/>
      <c r="K941"/>
      <c r="L941"/>
      <c r="M941"/>
      <c r="N941"/>
      <c r="O941"/>
      <c r="P941"/>
      <c r="Q941"/>
    </row>
    <row r="942" spans="1:17" s="26" customFormat="1" ht="40.950000000000003" customHeight="1">
      <c r="A942" s="321"/>
      <c r="B942" s="871" t="s">
        <v>836</v>
      </c>
      <c r="C942" s="871"/>
      <c r="D942" s="871"/>
      <c r="E942" s="871"/>
      <c r="F942" s="871"/>
      <c r="G942" s="871"/>
      <c r="H942" s="48"/>
      <c r="K942"/>
      <c r="L942"/>
      <c r="M942"/>
      <c r="N942"/>
      <c r="O942"/>
      <c r="P942"/>
      <c r="Q942"/>
    </row>
    <row r="943" spans="1:17" s="26" customFormat="1">
      <c r="F943" s="48"/>
      <c r="G943" s="48"/>
      <c r="H943" s="48"/>
      <c r="I943"/>
      <c r="J943"/>
      <c r="K943"/>
      <c r="L943"/>
      <c r="M943"/>
      <c r="N943"/>
      <c r="O943"/>
      <c r="P943"/>
      <c r="Q943"/>
    </row>
    <row r="944" spans="1:17" s="26" customFormat="1">
      <c r="B944" s="26" t="s">
        <v>796</v>
      </c>
      <c r="D944" s="532"/>
      <c r="E944" s="549"/>
      <c r="F944" s="549"/>
      <c r="G944" s="549"/>
      <c r="H944" s="567" t="s">
        <v>795</v>
      </c>
      <c r="I944" s="532">
        <f>INT(I940/章月)</f>
        <v>15</v>
      </c>
      <c r="J944" s="590">
        <f>MOD(I940,章月)</f>
        <v>90</v>
      </c>
      <c r="K944"/>
      <c r="L944"/>
      <c r="M944"/>
      <c r="N944"/>
      <c r="O944"/>
      <c r="P944"/>
      <c r="Q944"/>
    </row>
    <row r="945" spans="2:17" s="26" customFormat="1">
      <c r="D945" s="593"/>
      <c r="E945" s="593"/>
      <c r="F945" s="593"/>
      <c r="G945" s="593"/>
      <c r="H945" s="594" t="s">
        <v>799</v>
      </c>
      <c r="I945" s="593">
        <f>J944*章閏</f>
        <v>630</v>
      </c>
      <c r="J945" s="593"/>
      <c r="K945"/>
      <c r="L945"/>
      <c r="M945"/>
      <c r="N945"/>
      <c r="O945"/>
      <c r="P945"/>
      <c r="Q945"/>
    </row>
    <row r="946" spans="2:17" s="26" customFormat="1">
      <c r="D946" s="542"/>
      <c r="E946" s="542"/>
      <c r="F946" s="542"/>
      <c r="G946" s="542"/>
      <c r="H946" s="591" t="s">
        <v>797</v>
      </c>
      <c r="I946" s="542">
        <f>INT(I945/章月)</f>
        <v>2</v>
      </c>
      <c r="J946" s="592">
        <f>MOD(I945,章月)</f>
        <v>160</v>
      </c>
      <c r="K946"/>
      <c r="L946"/>
      <c r="M946"/>
      <c r="N946"/>
      <c r="O946"/>
      <c r="P946"/>
      <c r="Q946"/>
    </row>
    <row r="947" spans="2:17" s="26" customFormat="1">
      <c r="D947" s="532"/>
      <c r="E947" s="532"/>
      <c r="F947" s="532"/>
      <c r="G947" s="532"/>
      <c r="H947" s="567" t="s">
        <v>800</v>
      </c>
      <c r="I947" s="532">
        <f>J944-I946</f>
        <v>88</v>
      </c>
      <c r="J947" s="590"/>
      <c r="K947"/>
      <c r="L947"/>
      <c r="M947"/>
      <c r="N947"/>
      <c r="O947"/>
      <c r="P947"/>
      <c r="Q947"/>
    </row>
    <row r="948" spans="2:17" s="26" customFormat="1">
      <c r="D948" s="532"/>
      <c r="E948" s="532"/>
      <c r="F948" s="532"/>
      <c r="G948" s="532"/>
      <c r="H948" s="567" t="s">
        <v>801</v>
      </c>
      <c r="I948" s="532">
        <f>INT(I947/12)</f>
        <v>7</v>
      </c>
      <c r="J948" s="590">
        <f>MOD(I947,12)</f>
        <v>4</v>
      </c>
      <c r="K948"/>
      <c r="L948"/>
      <c r="M948"/>
      <c r="N948"/>
      <c r="O948"/>
      <c r="P948"/>
      <c r="Q948"/>
    </row>
    <row r="949" spans="2:17" s="26" customFormat="1">
      <c r="D949" s="532"/>
      <c r="E949" s="532"/>
      <c r="F949" s="532"/>
      <c r="G949" s="532"/>
      <c r="H949" s="567" t="s">
        <v>802</v>
      </c>
      <c r="I949" s="595">
        <f>MOD(IF(J948+11&lt;12,J948+11,J948-1)-1,12)+1</f>
        <v>3</v>
      </c>
      <c r="J949" s="590"/>
      <c r="K949"/>
      <c r="L949"/>
      <c r="M949"/>
      <c r="N949"/>
      <c r="O949"/>
      <c r="P949"/>
      <c r="Q949"/>
    </row>
    <row r="950" spans="2:17" ht="13.2" customHeight="1">
      <c r="D950" s="596"/>
      <c r="E950" s="596"/>
      <c r="F950" s="596"/>
      <c r="G950" s="596"/>
      <c r="H950" s="597" t="s">
        <v>798</v>
      </c>
      <c r="I950" s="596" t="b">
        <f>AND(J946&gt;=224,J946&lt;=231)</f>
        <v>0</v>
      </c>
      <c r="J950" s="596"/>
    </row>
    <row r="951" spans="2:17">
      <c r="D951" s="532"/>
      <c r="E951" s="532"/>
      <c r="F951" s="532"/>
      <c r="G951" s="532"/>
      <c r="H951" s="567"/>
      <c r="I951" s="532" t="str">
        <f>CONCATENATE(IF(I950=TRUE(),"閏",""),CHOOSE(I949-I950,"正","二","三","四","五","六","七","八","九","十","十一","十二"),"月")</f>
        <v>三月</v>
      </c>
      <c r="J951" s="532"/>
    </row>
    <row r="953" spans="2:17" s="268" customFormat="1">
      <c r="B953" s="268" t="s">
        <v>803</v>
      </c>
      <c r="I953" s="208" t="b">
        <f>J940=0</f>
        <v>0</v>
      </c>
    </row>
    <row r="954" spans="2:17" s="268" customFormat="1">
      <c r="H954" s="925" t="s">
        <v>793</v>
      </c>
      <c r="I954" s="208" t="str">
        <f>CONCATENATE(IF(I950=TRUE(),"閏",""),CHOOSE(I949-I950-IF(J940=0,1),"正","二","三","四","五","六","七","八","九","十","十一","十二"),"月")</f>
        <v>三月</v>
      </c>
    </row>
    <row r="956" spans="2:17" ht="28.95" customHeight="1">
      <c r="B956" s="871" t="s">
        <v>838</v>
      </c>
      <c r="C956" s="871"/>
      <c r="D956" s="871"/>
      <c r="E956" s="871"/>
      <c r="F956" s="871"/>
      <c r="G956" s="871"/>
    </row>
    <row r="957" spans="2:17">
      <c r="L957" s="402"/>
    </row>
    <row r="958" spans="2:17">
      <c r="D958" s="532"/>
      <c r="E958" s="532"/>
      <c r="F958" s="532"/>
      <c r="G958" s="532"/>
      <c r="H958" s="549" t="s">
        <v>804</v>
      </c>
      <c r="I958" s="532">
        <f>I940+5+IF(J958&lt;J940,1)</f>
        <v>3621</v>
      </c>
      <c r="J958" s="590">
        <f>MOD(J940+20,食法)</f>
        <v>12</v>
      </c>
    </row>
    <row r="959" spans="2:17">
      <c r="D959" s="532"/>
      <c r="E959" s="549"/>
      <c r="F959" s="549"/>
      <c r="G959" s="549"/>
      <c r="H959" s="567" t="s">
        <v>795</v>
      </c>
      <c r="I959" s="532">
        <f>INT(I958/章月)</f>
        <v>15</v>
      </c>
      <c r="J959" s="590">
        <f>MOD(I958,章月)</f>
        <v>96</v>
      </c>
    </row>
    <row r="960" spans="2:17">
      <c r="D960" s="593"/>
      <c r="E960" s="593"/>
      <c r="F960" s="593"/>
      <c r="G960" s="593"/>
      <c r="H960" s="594" t="s">
        <v>799</v>
      </c>
      <c r="I960" s="593">
        <f>J959*章閏</f>
        <v>672</v>
      </c>
      <c r="J960" s="593"/>
    </row>
    <row r="961" spans="4:10">
      <c r="D961" s="542"/>
      <c r="E961" s="542"/>
      <c r="F961" s="542"/>
      <c r="G961" s="542"/>
      <c r="H961" s="591" t="s">
        <v>797</v>
      </c>
      <c r="I961" s="542">
        <f>INT(I960/章月)</f>
        <v>2</v>
      </c>
      <c r="J961" s="592">
        <f>MOD(I960,章月)</f>
        <v>202</v>
      </c>
    </row>
    <row r="962" spans="4:10">
      <c r="D962" s="532"/>
      <c r="E962" s="532"/>
      <c r="F962" s="532"/>
      <c r="G962" s="532"/>
      <c r="H962" s="567" t="s">
        <v>800</v>
      </c>
      <c r="I962" s="532">
        <f>J959-I961</f>
        <v>94</v>
      </c>
      <c r="J962" s="590"/>
    </row>
    <row r="963" spans="4:10">
      <c r="D963" s="532"/>
      <c r="E963" s="532"/>
      <c r="F963" s="532"/>
      <c r="G963" s="532"/>
      <c r="H963" s="567" t="s">
        <v>801</v>
      </c>
      <c r="I963" s="532">
        <f>INT(I962/12)</f>
        <v>7</v>
      </c>
      <c r="J963" s="590">
        <f>MOD(I962,12)</f>
        <v>10</v>
      </c>
    </row>
    <row r="964" spans="4:10">
      <c r="D964" s="532"/>
      <c r="E964" s="532"/>
      <c r="F964" s="532"/>
      <c r="G964" s="532"/>
      <c r="H964" s="567" t="s">
        <v>802</v>
      </c>
      <c r="I964" s="595">
        <f>MOD(IF(J963+11&lt;12,J963+11,J963-1)-1,12)+1</f>
        <v>9</v>
      </c>
      <c r="J964" s="590"/>
    </row>
    <row r="965" spans="4:10">
      <c r="D965" s="596"/>
      <c r="E965" s="596"/>
      <c r="F965" s="596"/>
      <c r="G965" s="596"/>
      <c r="H965" s="597" t="s">
        <v>798</v>
      </c>
      <c r="I965" s="596" t="b">
        <f>AND(J961&gt;=224,J961&lt;=231)</f>
        <v>0</v>
      </c>
      <c r="J965" s="596"/>
    </row>
    <row r="966" spans="4:10">
      <c r="D966" s="532"/>
      <c r="E966" s="532"/>
      <c r="F966" s="532"/>
      <c r="G966" s="532"/>
      <c r="H966" s="567"/>
      <c r="I966" s="532" t="str">
        <f>CONCATENATE(IF(I965=TRUE(),"閏",""),CHOOSE(I964-I965,"正","二","三","四","五","六","七","八","九","十","十一","十二"),"月")</f>
        <v>九月</v>
      </c>
      <c r="J966" s="532"/>
    </row>
    <row r="967" spans="4:10">
      <c r="D967" s="532"/>
      <c r="E967" s="532"/>
      <c r="F967" s="532"/>
      <c r="G967" s="532"/>
      <c r="H967" s="567" t="s">
        <v>805</v>
      </c>
      <c r="I967" s="532" t="b">
        <f>J958=0</f>
        <v>0</v>
      </c>
      <c r="J967" s="532"/>
    </row>
    <row r="968" spans="4:10">
      <c r="D968" s="532"/>
      <c r="E968" s="532"/>
      <c r="F968" s="532"/>
      <c r="G968" s="532"/>
      <c r="H968" s="567"/>
      <c r="I968" s="532" t="str">
        <f>CONCATENATE(IF(I965=TRUE(),"閏",""),CHOOSE(I964-I965-I967,"正","二","三","四","五","六","七","八","九","十","十一","十二"),"月")</f>
        <v>九月</v>
      </c>
      <c r="J968" s="532"/>
    </row>
    <row r="970" spans="4:10">
      <c r="D970" s="532"/>
      <c r="E970" s="532"/>
      <c r="F970" s="532"/>
      <c r="G970" s="532"/>
      <c r="H970" s="549" t="s">
        <v>804</v>
      </c>
      <c r="I970" s="532">
        <f>I958+5+IF(J970&lt;J958,1)</f>
        <v>3627</v>
      </c>
      <c r="J970" s="590">
        <f>MOD(J958+20,食法)</f>
        <v>9</v>
      </c>
    </row>
    <row r="971" spans="4:10">
      <c r="D971" s="532"/>
      <c r="E971" s="549"/>
      <c r="F971" s="549"/>
      <c r="G971" s="549"/>
      <c r="H971" s="567" t="s">
        <v>795</v>
      </c>
      <c r="I971" s="532">
        <f>INT(I970/章月)</f>
        <v>15</v>
      </c>
      <c r="J971" s="590">
        <f>MOD(I970,章月)</f>
        <v>102</v>
      </c>
    </row>
    <row r="972" spans="4:10">
      <c r="D972" s="593"/>
      <c r="E972" s="593"/>
      <c r="F972" s="593"/>
      <c r="G972" s="593"/>
      <c r="H972" s="594" t="s">
        <v>799</v>
      </c>
      <c r="I972" s="593">
        <f>J971*章閏</f>
        <v>714</v>
      </c>
      <c r="J972" s="593"/>
    </row>
    <row r="973" spans="4:10">
      <c r="D973" s="542"/>
      <c r="E973" s="542"/>
      <c r="F973" s="542"/>
      <c r="G973" s="542"/>
      <c r="H973" s="591" t="s">
        <v>797</v>
      </c>
      <c r="I973" s="542">
        <f>INT(I972/章月)</f>
        <v>3</v>
      </c>
      <c r="J973" s="592">
        <f>MOD(I972,章月)</f>
        <v>9</v>
      </c>
    </row>
    <row r="974" spans="4:10">
      <c r="D974" s="532"/>
      <c r="E974" s="532"/>
      <c r="F974" s="532"/>
      <c r="G974" s="532"/>
      <c r="H974" s="567" t="s">
        <v>800</v>
      </c>
      <c r="I974" s="532">
        <f>J971-I973</f>
        <v>99</v>
      </c>
      <c r="J974" s="590"/>
    </row>
    <row r="975" spans="4:10">
      <c r="D975" s="532"/>
      <c r="E975" s="532"/>
      <c r="F975" s="532"/>
      <c r="G975" s="532"/>
      <c r="H975" s="567" t="s">
        <v>801</v>
      </c>
      <c r="I975" s="532">
        <f>INT(I974/12)</f>
        <v>8</v>
      </c>
      <c r="J975" s="590">
        <f>MOD(I974,12)</f>
        <v>3</v>
      </c>
    </row>
    <row r="976" spans="4:10">
      <c r="D976" s="532"/>
      <c r="E976" s="532"/>
      <c r="F976" s="532"/>
      <c r="G976" s="532"/>
      <c r="H976" s="567" t="s">
        <v>802</v>
      </c>
      <c r="I976" s="595">
        <f>MOD(IF(J975+11&lt;12,J975+11,J975-1)-1,12)+1</f>
        <v>2</v>
      </c>
      <c r="J976" s="590"/>
    </row>
    <row r="977" spans="4:10">
      <c r="D977" s="596"/>
      <c r="E977" s="596"/>
      <c r="F977" s="596"/>
      <c r="G977" s="596"/>
      <c r="H977" s="597" t="s">
        <v>798</v>
      </c>
      <c r="I977" s="596" t="b">
        <f>AND(J973&gt;=224,J973&lt;=231)</f>
        <v>0</v>
      </c>
      <c r="J977" s="596"/>
    </row>
    <row r="978" spans="4:10">
      <c r="D978" s="532"/>
      <c r="E978" s="532"/>
      <c r="F978" s="532"/>
      <c r="G978" s="532"/>
      <c r="H978" s="567"/>
      <c r="I978" s="532" t="str">
        <f>CONCATENATE(IF(I977=TRUE(),"閏",""),CHOOSE(I976-I977,"正","二","三","四","五","六","七","八","九","十","十一","十二"),"月")</f>
        <v>二月</v>
      </c>
      <c r="J978" s="532"/>
    </row>
    <row r="979" spans="4:10">
      <c r="D979" s="532"/>
      <c r="E979" s="532"/>
      <c r="F979" s="532"/>
      <c r="G979" s="532"/>
      <c r="H979" s="567" t="s">
        <v>805</v>
      </c>
      <c r="I979" s="532" t="b">
        <f>J970=0</f>
        <v>0</v>
      </c>
      <c r="J979" s="532"/>
    </row>
    <row r="980" spans="4:10">
      <c r="D980" s="532"/>
      <c r="E980" s="532"/>
      <c r="F980" s="532"/>
      <c r="G980" s="532"/>
      <c r="H980" s="567"/>
      <c r="I980" s="532" t="str">
        <f>CONCATENATE(IF(I977=TRUE(),"閏",""),CHOOSE(I976-I977-I979,"正","二","三","四","五","六","七","八","九","十","十一","十二"),"月")</f>
        <v>二月</v>
      </c>
      <c r="J980" s="532"/>
    </row>
    <row r="982" spans="4:10">
      <c r="D982" s="532"/>
      <c r="E982" s="532"/>
      <c r="F982" s="532"/>
      <c r="G982" s="532"/>
      <c r="H982" s="549" t="s">
        <v>804</v>
      </c>
      <c r="I982" s="532">
        <f>I970+5+IF(J982&lt;J970,1)</f>
        <v>3633</v>
      </c>
      <c r="J982" s="590">
        <f>MOD(J970+20,食法)</f>
        <v>6</v>
      </c>
    </row>
    <row r="983" spans="4:10">
      <c r="D983" s="532"/>
      <c r="E983" s="549"/>
      <c r="F983" s="549"/>
      <c r="G983" s="549"/>
      <c r="H983" s="567" t="s">
        <v>795</v>
      </c>
      <c r="I983" s="532">
        <f>INT(I982/章月)</f>
        <v>15</v>
      </c>
      <c r="J983" s="590">
        <f>MOD(I982,章月)</f>
        <v>108</v>
      </c>
    </row>
    <row r="984" spans="4:10">
      <c r="D984" s="593"/>
      <c r="E984" s="593"/>
      <c r="F984" s="593"/>
      <c r="G984" s="593"/>
      <c r="H984" s="594" t="s">
        <v>799</v>
      </c>
      <c r="I984" s="593">
        <f>J983*章閏</f>
        <v>756</v>
      </c>
      <c r="J984" s="593"/>
    </row>
    <row r="985" spans="4:10">
      <c r="D985" s="542"/>
      <c r="E985" s="542"/>
      <c r="F985" s="542"/>
      <c r="G985" s="542"/>
      <c r="H985" s="591" t="s">
        <v>797</v>
      </c>
      <c r="I985" s="542">
        <f>INT(I984/章月)</f>
        <v>3</v>
      </c>
      <c r="J985" s="592">
        <f>MOD(I984,章月)</f>
        <v>51</v>
      </c>
    </row>
    <row r="986" spans="4:10">
      <c r="D986" s="532"/>
      <c r="E986" s="532"/>
      <c r="F986" s="532"/>
      <c r="G986" s="532"/>
      <c r="H986" s="567" t="s">
        <v>800</v>
      </c>
      <c r="I986" s="532">
        <f>J983-I985</f>
        <v>105</v>
      </c>
      <c r="J986" s="590"/>
    </row>
    <row r="987" spans="4:10">
      <c r="D987" s="532"/>
      <c r="E987" s="532"/>
      <c r="F987" s="532"/>
      <c r="G987" s="532"/>
      <c r="H987" s="567" t="s">
        <v>801</v>
      </c>
      <c r="I987" s="532">
        <f>INT(I986/12)</f>
        <v>8</v>
      </c>
      <c r="J987" s="590">
        <f>MOD(I986,12)</f>
        <v>9</v>
      </c>
    </row>
    <row r="988" spans="4:10">
      <c r="D988" s="532"/>
      <c r="E988" s="532"/>
      <c r="F988" s="532"/>
      <c r="G988" s="532"/>
      <c r="H988" s="567" t="s">
        <v>802</v>
      </c>
      <c r="I988" s="595">
        <f>MOD(IF(J987+11&lt;12,J987+11,J987-1)-1,12)+1</f>
        <v>8</v>
      </c>
      <c r="J988" s="590"/>
    </row>
    <row r="989" spans="4:10">
      <c r="D989" s="596"/>
      <c r="E989" s="596"/>
      <c r="F989" s="596"/>
      <c r="G989" s="596"/>
      <c r="H989" s="597" t="s">
        <v>798</v>
      </c>
      <c r="I989" s="596" t="b">
        <f>AND(J985&gt;=224,J985&lt;=231)</f>
        <v>0</v>
      </c>
      <c r="J989" s="596"/>
    </row>
    <row r="990" spans="4:10">
      <c r="D990" s="532"/>
      <c r="E990" s="532"/>
      <c r="F990" s="532"/>
      <c r="G990" s="532"/>
      <c r="H990" s="567"/>
      <c r="I990" s="532" t="str">
        <f>CONCATENATE(IF(I989=TRUE(),"閏",""),CHOOSE(I988-I989,"正","二","三","四","五","六","七","八","九","十","十一","十二"),"月")</f>
        <v>八月</v>
      </c>
      <c r="J990" s="532"/>
    </row>
    <row r="991" spans="4:10">
      <c r="D991" s="532"/>
      <c r="E991" s="532"/>
      <c r="F991" s="532"/>
      <c r="G991" s="532"/>
      <c r="H991" s="567" t="s">
        <v>805</v>
      </c>
      <c r="I991" s="532" t="b">
        <f>J982=0</f>
        <v>0</v>
      </c>
      <c r="J991" s="532"/>
    </row>
    <row r="992" spans="4:10">
      <c r="D992" s="532"/>
      <c r="E992" s="532"/>
      <c r="F992" s="532"/>
      <c r="G992" s="532"/>
      <c r="H992" s="567"/>
      <c r="I992" s="532" t="str">
        <f>CONCATENATE(IF(I989=TRUE(),"閏",""),CHOOSE(I988-I989-I991,"正","二","三","四","五","六","七","八","九","十","十一","十二"),"月")</f>
        <v>八月</v>
      </c>
      <c r="J992" s="532"/>
    </row>
    <row r="994" spans="1:12" s="451" customFormat="1">
      <c r="A994" s="449" t="s">
        <v>808</v>
      </c>
      <c r="B994" s="450" t="s">
        <v>809</v>
      </c>
    </row>
    <row r="995" spans="1:12">
      <c r="A995" s="321" t="s">
        <v>810</v>
      </c>
      <c r="B995" t="s">
        <v>811</v>
      </c>
      <c r="I995">
        <f>食積月</f>
        <v>3609</v>
      </c>
    </row>
    <row r="997" spans="1:12">
      <c r="B997" t="s">
        <v>812</v>
      </c>
      <c r="I997">
        <f>I995*29</f>
        <v>104661</v>
      </c>
    </row>
    <row r="999" spans="1:12">
      <c r="B999" t="s">
        <v>813</v>
      </c>
      <c r="I999">
        <f>I995*499</f>
        <v>1800891</v>
      </c>
    </row>
    <row r="1000" spans="1:12">
      <c r="B1000" t="s">
        <v>814</v>
      </c>
      <c r="I1000" s="208">
        <f>INT(I999/蔀月)</f>
        <v>1915</v>
      </c>
      <c r="J1000" s="570">
        <f>MOD(I999,蔀月)</f>
        <v>791</v>
      </c>
    </row>
    <row r="1001" spans="1:12">
      <c r="B1001" t="s">
        <v>815</v>
      </c>
      <c r="I1001">
        <f>I997+I1000</f>
        <v>106576</v>
      </c>
    </row>
    <row r="1002" spans="1:12" s="26" customFormat="1" ht="13.2" customHeight="1">
      <c r="A1002" s="45"/>
      <c r="B1002" s="599" t="s">
        <v>816</v>
      </c>
      <c r="C1002" s="599"/>
      <c r="D1002" s="599"/>
      <c r="E1002" s="599"/>
      <c r="F1002" s="599"/>
      <c r="G1002" s="599"/>
      <c r="H1002"/>
      <c r="I1002" s="208">
        <f>INT(I1001/60)</f>
        <v>1776</v>
      </c>
      <c r="J1002" s="570">
        <f>MOD(I1001,60)</f>
        <v>16</v>
      </c>
      <c r="K1002"/>
      <c r="L1002"/>
    </row>
    <row r="1004" spans="1:12" ht="16.95" customHeight="1">
      <c r="B1004" s="600" t="s">
        <v>817</v>
      </c>
      <c r="I1004" s="320" t="str">
        <f>CONCATENATE(CHOOSE(MOD(J1004,10)+1,"癸","甲","乙","丙","丁","戊","己","庚","辛","壬"),(CHOOSE(MOD(J1004,12)+1,"亥","子","丑","寅","卯","辰","巳","午","未","申","酉","戌")))</f>
        <v>庚辰</v>
      </c>
      <c r="J1004" s="570">
        <f>MOD(J1002+蔀會名-1,60)+1</f>
        <v>17</v>
      </c>
    </row>
    <row r="1005" spans="1:12" s="26" customFormat="1">
      <c r="A1005" s="45"/>
      <c r="B1005" s="94"/>
      <c r="C1005" s="25"/>
      <c r="D1005" s="25"/>
      <c r="E1005" s="25"/>
      <c r="F1005" s="25"/>
      <c r="G1005" s="25"/>
      <c r="H1005" s="25"/>
      <c r="I1005"/>
      <c r="J1005"/>
    </row>
    <row r="1006" spans="1:12" s="451" customFormat="1">
      <c r="A1006" s="449" t="s">
        <v>818</v>
      </c>
      <c r="B1006" s="450" t="s">
        <v>819</v>
      </c>
    </row>
    <row r="1007" spans="1:12" ht="13.95" customHeight="1">
      <c r="A1007" s="321" t="s">
        <v>822</v>
      </c>
      <c r="B1007" t="s">
        <v>820</v>
      </c>
      <c r="I1007" s="208">
        <f>J1002+14+IF(J1007&lt;J1000,1)</f>
        <v>31</v>
      </c>
      <c r="J1007" s="570">
        <f>MOD(J1000+719.5,蔀月)</f>
        <v>570.5</v>
      </c>
    </row>
    <row r="1008" spans="1:12">
      <c r="B1008" t="s">
        <v>821</v>
      </c>
      <c r="I1008" s="320" t="str">
        <f>CONCATENATE(CHOOSE(MOD(J1008,10)+1,"癸","甲","乙","丙","丁","戊","己","庚","辛","壬"),(CHOOSE(MOD(J1008,12)+1,"亥","子","丑","寅","卯","辰","巳","午","未","申","酉","戌")))</f>
        <v>乙未</v>
      </c>
      <c r="J1008" s="570">
        <f>MOD(I1007+蔀會名-1,60)+1</f>
        <v>32</v>
      </c>
    </row>
    <row r="1011" spans="1:21" s="451" customFormat="1">
      <c r="A1011" s="449" t="s">
        <v>824</v>
      </c>
      <c r="B1011" s="450" t="s">
        <v>823</v>
      </c>
    </row>
    <row r="1012" spans="1:21" ht="13.2" customHeight="1">
      <c r="A1012" s="321" t="s">
        <v>845</v>
      </c>
      <c r="B1012" t="s">
        <v>825</v>
      </c>
    </row>
    <row r="1013" spans="1:21">
      <c r="H1013" s="614"/>
    </row>
    <row r="1014" spans="1:21">
      <c r="B1014" t="s">
        <v>116</v>
      </c>
      <c r="H1014" s="614"/>
    </row>
    <row r="1015" spans="1:21">
      <c r="H1015" s="614"/>
    </row>
    <row r="1016" spans="1:21" ht="126.75" customHeight="1">
      <c r="B1016" s="871" t="s">
        <v>831</v>
      </c>
      <c r="C1016" s="871"/>
      <c r="D1016" s="871"/>
      <c r="E1016" s="871"/>
      <c r="F1016" s="871"/>
      <c r="G1016" s="871"/>
      <c r="H1016" s="614"/>
    </row>
    <row r="1018" spans="1:21">
      <c r="B1018" t="s">
        <v>117</v>
      </c>
    </row>
    <row r="1020" spans="1:21" ht="13.2" customHeight="1">
      <c r="B1020" s="871" t="s">
        <v>869</v>
      </c>
      <c r="C1020" s="871"/>
      <c r="D1020" s="871"/>
      <c r="E1020" s="871"/>
      <c r="F1020" s="871"/>
      <c r="G1020" s="871"/>
    </row>
    <row r="1021" spans="1:21" ht="13.8" thickBot="1">
      <c r="B1021" s="558"/>
      <c r="C1021" s="532"/>
      <c r="D1021" s="532"/>
      <c r="E1021" s="532"/>
      <c r="F1021" s="532"/>
      <c r="G1021" s="532"/>
    </row>
    <row r="1022" spans="1:21" ht="13.8" thickBot="1">
      <c r="B1022" s="532"/>
      <c r="C1022" s="532" t="s">
        <v>681</v>
      </c>
      <c r="D1022" s="554" t="s">
        <v>683</v>
      </c>
      <c r="E1022" s="532"/>
      <c r="F1022" s="532"/>
      <c r="G1022" s="532"/>
    </row>
    <row r="1023" spans="1:21">
      <c r="B1023" s="532"/>
      <c r="C1023" s="532"/>
      <c r="D1023" s="532"/>
      <c r="E1023" s="532"/>
      <c r="F1023" s="532"/>
      <c r="G1023" s="532"/>
    </row>
    <row r="1024" spans="1:21">
      <c r="Q1024" s="635" t="s">
        <v>842</v>
      </c>
      <c r="R1024" s="598"/>
      <c r="S1024" s="598"/>
      <c r="T1024" s="598"/>
      <c r="U1024" s="598"/>
    </row>
    <row r="1025" spans="1:21">
      <c r="B1025" s="603" t="s">
        <v>826</v>
      </c>
      <c r="C1025" s="604" t="s">
        <v>807</v>
      </c>
      <c r="D1025" s="604" t="s">
        <v>676</v>
      </c>
      <c r="E1025" s="613" t="s">
        <v>830</v>
      </c>
      <c r="F1025" s="613" t="s">
        <v>832</v>
      </c>
      <c r="G1025" s="604" t="s">
        <v>828</v>
      </c>
      <c r="H1025" s="605"/>
      <c r="I1025" s="606" t="s">
        <v>827</v>
      </c>
      <c r="J1025" s="610" t="s">
        <v>829</v>
      </c>
      <c r="K1025" s="425"/>
      <c r="L1025" s="425" t="s">
        <v>827</v>
      </c>
      <c r="M1025" s="658" t="s">
        <v>556</v>
      </c>
      <c r="N1025" s="662" t="s">
        <v>870</v>
      </c>
      <c r="O1025" s="659"/>
      <c r="Q1025" s="636" t="s">
        <v>806</v>
      </c>
      <c r="R1025" s="637" t="s">
        <v>807</v>
      </c>
      <c r="S1025" s="637" t="s">
        <v>648</v>
      </c>
      <c r="T1025" s="637"/>
      <c r="U1025" s="637" t="s">
        <v>841</v>
      </c>
    </row>
    <row r="1026" spans="1:21">
      <c r="B1026" s="607">
        <v>1</v>
      </c>
      <c r="C1026" s="601" t="str">
        <f>IF(R1026-current.year=-2,"前前年",IF(R1026-current.year=-1,"前年",IF(R1026-current.year=0,"本年",IF(R1026-current.year=1,"後年",IF(R1026-current.year=2,"後後年")))))</f>
        <v>前年</v>
      </c>
      <c r="D1026" s="601" t="str">
        <f>I936</f>
        <v>九月</v>
      </c>
      <c r="E1026" s="612">
        <f>食積月餘分</f>
        <v>18</v>
      </c>
      <c r="F1026" s="615" t="b">
        <f>E1026&gt;=3</f>
        <v>1</v>
      </c>
      <c r="G1026" s="601" t="str">
        <f>I1004</f>
        <v>庚辰</v>
      </c>
      <c r="H1026" s="630">
        <f>J1004</f>
        <v>17</v>
      </c>
      <c r="I1026" s="602">
        <f>J1000</f>
        <v>791</v>
      </c>
      <c r="J1026" s="611" t="str">
        <f>I1008</f>
        <v>乙未</v>
      </c>
      <c r="K1026" s="602">
        <f>J1008</f>
        <v>32</v>
      </c>
      <c r="L1026" s="602">
        <f>J1007</f>
        <v>570.5</v>
      </c>
      <c r="M1026" s="654" t="str">
        <f>LOOKUP(IF(D1022="nearest",ROUND(MOD(Q1026*mean_lunation,mean_solar_year)/(medial_qi/2),0)+1,INT(MOD(Q1026*mean_lunation,mean_solar_year)/(medial_qi/2)))+1,Tables!$B$4:$B$27,Han.Solar.table.qi.names)</f>
        <v>秋分</v>
      </c>
      <c r="N1026" s="660">
        <f>INDEX(Han.Solar.table.night.marks,MATCH('The Text'!M1026,Han.Solar.table.qi.names,0))</f>
        <v>44.8</v>
      </c>
      <c r="O1026" s="655" t="str">
        <f>IF(L1026&lt;N1026*蔀月/200,"筭上為日","")</f>
        <v/>
      </c>
      <c r="Q1026" s="649">
        <f>食積月</f>
        <v>3609</v>
      </c>
      <c r="R1026" s="648">
        <f>INT((Q1026-2-INT(Q1026*章閏/章月))/12)+Buhui.Head</f>
        <v>131</v>
      </c>
      <c r="S1026" s="535" t="str">
        <f>CONCATENATE(CHOOSE(MOD(T1026,10)+1,"癸","甲","乙","丙","丁","戊","己","庚","辛","壬"),(CHOOSE(MOD(T1026,12)+1,"亥","子","丑","寅","卯","辰","巳","午","未","申","酉","戌")))</f>
        <v>庚辰</v>
      </c>
      <c r="T1026" s="652">
        <f>MOD(INT(Q1026*mean_lunation)+蔀會名-1,60)+1</f>
        <v>17</v>
      </c>
      <c r="U1026" s="652">
        <f>(Q1026*mean_lunation-INT(Q1026*mean_lunation))*940</f>
        <v>790.99999999889405</v>
      </c>
    </row>
    <row r="1027" spans="1:21">
      <c r="B1027" s="607">
        <v>2</v>
      </c>
      <c r="C1027" s="601" t="str">
        <f>IF(R1027-current.year=-2,"前前年",IF(R1027-current.year=-1,"前年",IF(R1027-current.year=0,"本年",IF(R1027-current.year=1,"後年",IF(R1027-current.year=2,"後後年")))))</f>
        <v>本年</v>
      </c>
      <c r="D1027" s="601" t="str">
        <f>I954</f>
        <v>三月</v>
      </c>
      <c r="E1027" s="612">
        <f>J940</f>
        <v>15</v>
      </c>
      <c r="F1027" s="616" t="b">
        <f t="shared" ref="F1027:F1030" si="140">E1027&gt;=3</f>
        <v>1</v>
      </c>
      <c r="G1027" s="632" t="str">
        <f t="shared" ref="G1027:G1030" si="141">CONCATENATE(CHOOSE(MOD(H1027,10)+1,"癸","甲","乙","丙","丁","戊","己","庚","辛","壬"),(CHOOSE(MOD(H1027,12)+1,"亥","子","丑","寅","卯","辰","巳","午","未","申","酉","戌")))</f>
        <v>戊寅</v>
      </c>
      <c r="H1027" s="633">
        <f>MOD(INT(((I1026+615+499*$F1026)+(H1026+27+29*$F1026)*蔀月)/蔀月)-1,60)+1</f>
        <v>15</v>
      </c>
      <c r="I1027" s="626">
        <f>MOD(I1026+615+499*F1026,蔀月)</f>
        <v>25</v>
      </c>
      <c r="J1027" s="625" t="str">
        <f>CONCATENATE(CHOOSE(MOD(K1027,10)+1,"癸","甲","乙","丙","丁","戊","己","庚","辛","壬"),(CHOOSE(MOD(K1027,12)+1,"亥","子","丑","寅","卯","辰","巳","午","未","申","酉","戌")))</f>
        <v>壬辰</v>
      </c>
      <c r="K1027" s="633">
        <f>MOD(INT(((L1026+615+499*$F1026)+(K1026+27+29*$F1026)*蔀月)/蔀月)-1,60)+1</f>
        <v>29</v>
      </c>
      <c r="L1027" s="626">
        <f>MOD(L1026+615+499*I1026,蔀月)</f>
        <v>154.5</v>
      </c>
      <c r="M1027" s="654" t="str">
        <f>LOOKUP(IF(D1023="nearest",ROUND(MOD(Q1027*mean_lunation,mean_solar_year)/(medial_qi/2),0)+1,INT(MOD(Q1027*mean_lunation,mean_solar_year)/(medial_qi/2)))+1,Tables!$B$4:$B$27,Han.Solar.table.qi.names)</f>
        <v>春分</v>
      </c>
      <c r="N1027" s="660">
        <f>INDEX(Han.Solar.table.night.marks,MATCH('The Text'!M1027,Han.Solar.table.qi.names,0))</f>
        <v>44.2</v>
      </c>
      <c r="O1027" s="655" t="str">
        <f>IF(L1027&lt;N1027*蔀月/200,"筭上為日","")</f>
        <v>筭上為日</v>
      </c>
      <c r="Q1027" s="649">
        <f>I940</f>
        <v>3615</v>
      </c>
      <c r="R1027" s="648">
        <f>INT((Q1027-2-INT(Q1027*章閏/章月))/12)+Buhui.Head</f>
        <v>132</v>
      </c>
      <c r="S1027" s="535" t="str">
        <f t="shared" ref="S1027:S1030" si="142">CONCATENATE(CHOOSE(MOD(T1027,10)+1,"癸","甲","乙","丙","丁","戊","己","庚","辛","壬"),(CHOOSE(MOD(T1027,12)+1,"亥","子","丑","寅","卯","辰","巳","午","未","申","酉","戌")))</f>
        <v>戊寅</v>
      </c>
      <c r="T1027" s="652">
        <f>MOD(INT(Q1027*mean_lunation)+蔀會名-1,60)+1</f>
        <v>15</v>
      </c>
      <c r="U1027" s="652">
        <f>(Q1027*mean_lunation-INT(Q1027*mean_lunation))*940</f>
        <v>25.00000000174623</v>
      </c>
    </row>
    <row r="1028" spans="1:21">
      <c r="B1028" s="607">
        <v>3</v>
      </c>
      <c r="C1028" s="601" t="str">
        <f>IF(R1028-current.year=-2,"前前年",IF(R1028-current.year=-1,"前年",IF(R1028-current.year=0,"本年",IF(R1028-current.year=1,"後年",IF(R1028-current.year=2,"後後年")))))</f>
        <v>本年</v>
      </c>
      <c r="D1028" s="601" t="str">
        <f>I968</f>
        <v>九月</v>
      </c>
      <c r="E1028" s="612">
        <f>J958</f>
        <v>12</v>
      </c>
      <c r="F1028" s="616" t="b">
        <f t="shared" si="140"/>
        <v>1</v>
      </c>
      <c r="G1028" s="632" t="str">
        <f t="shared" si="141"/>
        <v>乙亥</v>
      </c>
      <c r="H1028" s="633">
        <f>MOD(INT(((I1027+615+499*F1027)+(H1027+27+29*F1027)*蔀月)/蔀月)-1,60)+1</f>
        <v>12</v>
      </c>
      <c r="I1028" s="626">
        <f>MOD(I1027+615+499*F1027,蔀月)</f>
        <v>199</v>
      </c>
      <c r="J1028" s="625" t="str">
        <f t="shared" ref="J1028:J1030" si="143">CONCATENATE(CHOOSE(MOD(K1028,10)+1,"癸","甲","乙","丙","丁","戊","己","庚","辛","壬"),(CHOOSE(MOD(K1028,12)+1,"亥","子","丑","寅","卯","辰","巳","午","未","申","酉","戌")))</f>
        <v>己丑</v>
      </c>
      <c r="K1028" s="633">
        <f>MOD(INT(((L1027+615+499*$F1027)+(K1027+27+29*$F1027)*蔀月)/蔀月)-1,60)+1</f>
        <v>26</v>
      </c>
      <c r="L1028" s="626">
        <f>MOD(L1027+615+499*I1027,蔀月)</f>
        <v>84.5</v>
      </c>
      <c r="M1028" s="654" t="str">
        <f>LOOKUP(IF(D1024="nearest",ROUND(MOD(Q1028*mean_lunation,mean_solar_year)/(medial_qi/2),0)+1,INT(MOD(Q1028*mean_lunation,mean_solar_year)/(medial_qi/2)))+1,Tables!$B$4:$B$27,Han.Solar.table.qi.names)</f>
        <v>秋分</v>
      </c>
      <c r="N1028" s="660">
        <f>INDEX(Han.Solar.table.night.marks,MATCH('The Text'!M1028,Han.Solar.table.qi.names,0))</f>
        <v>44.8</v>
      </c>
      <c r="O1028" s="655" t="str">
        <f>IF(L1028&lt;N1028*蔀月/200,"筭上為日","")</f>
        <v>筭上為日</v>
      </c>
      <c r="Q1028" s="649">
        <f>I958</f>
        <v>3621</v>
      </c>
      <c r="R1028" s="648">
        <f>INT((Q1028-2-INT(Q1028*章閏/章月))/12)+Buhui.Head</f>
        <v>132</v>
      </c>
      <c r="S1028" s="535" t="str">
        <f t="shared" si="142"/>
        <v>乙亥</v>
      </c>
      <c r="T1028" s="652">
        <f>MOD(INT(Q1028*mean_lunation)+蔀會名-1,60)+1</f>
        <v>12</v>
      </c>
      <c r="U1028" s="652">
        <f>(Q1028*mean_lunation-INT(Q1028*mean_lunation))*940</f>
        <v>198.9999999909196</v>
      </c>
    </row>
    <row r="1029" spans="1:21">
      <c r="B1029" s="607">
        <v>4</v>
      </c>
      <c r="C1029" s="601" t="str">
        <f>IF(R1029-current.year=-2,"前前年",IF(R1029-current.year=-1,"前年",IF(R1029-current.year=0,"本年",IF(R1029-current.year=1,"後年",IF(R1029-current.year=2,"後後年")))))</f>
        <v>後年</v>
      </c>
      <c r="D1029" s="601" t="str">
        <f>I980</f>
        <v>二月</v>
      </c>
      <c r="E1029" s="612">
        <f>J970</f>
        <v>9</v>
      </c>
      <c r="F1029" s="616" t="b">
        <f t="shared" si="140"/>
        <v>1</v>
      </c>
      <c r="G1029" s="632" t="str">
        <f t="shared" si="141"/>
        <v>壬申</v>
      </c>
      <c r="H1029" s="633">
        <f>MOD(INT(((I1028+615+499*F1028)+(H1028+27+29*F1028)*蔀月)/蔀月)-1,60)+1</f>
        <v>9</v>
      </c>
      <c r="I1029" s="626">
        <f>MOD(I1028+615+499*F1028,蔀月)</f>
        <v>373</v>
      </c>
      <c r="J1029" s="625" t="str">
        <f t="shared" si="143"/>
        <v>丙戌</v>
      </c>
      <c r="K1029" s="633">
        <f>MOD(INT(((L1028+615+499*$F1028)+(K1028+27+29*$F1028)*蔀月)/蔀月)-1,60)+1</f>
        <v>23</v>
      </c>
      <c r="L1029" s="626">
        <f>MOD(L1028+615+499*I1028,蔀月)</f>
        <v>360.5</v>
      </c>
      <c r="M1029" s="654" t="str">
        <f>LOOKUP(IF(D1025="nearest",ROUND(MOD(Q1029*mean_lunation,mean_solar_year)/(medial_qi/2),0)+1,INT(MOD(Q1029*mean_lunation,mean_solar_year)/(medial_qi/2)))+1,Tables!$B$4:$B$27,Han.Solar.table.qi.names)</f>
        <v>驚蟄</v>
      </c>
      <c r="N1029" s="660">
        <f>INDEX(Han.Solar.table.night.marks,MATCH('The Text'!M1029,Han.Solar.table.qi.names,0))</f>
        <v>46.7</v>
      </c>
      <c r="O1029" s="655" t="str">
        <f>IF(L1029&lt;N1029*蔀月/200,"筭上為日","")</f>
        <v/>
      </c>
      <c r="Q1029" s="649">
        <f>I970</f>
        <v>3627</v>
      </c>
      <c r="R1029" s="648">
        <f>INT((Q1029-2-INT(Q1029*章閏/章月))/12)+Buhui.Head</f>
        <v>133</v>
      </c>
      <c r="S1029" s="535" t="str">
        <f t="shared" si="142"/>
        <v>壬申</v>
      </c>
      <c r="T1029" s="652">
        <f>MOD(INT(Q1029*mean_lunation)+蔀會名-1,60)+1</f>
        <v>9</v>
      </c>
      <c r="U1029" s="652">
        <f>(Q1029*mean_lunation-INT(Q1029*mean_lunation))*940</f>
        <v>372.99999999377178</v>
      </c>
    </row>
    <row r="1030" spans="1:21">
      <c r="B1030" s="608">
        <v>5</v>
      </c>
      <c r="C1030" s="601" t="str">
        <f>IF(R1030-current.year=-2,"前前年",IF(R1030-current.year=-1,"前年",IF(R1030-current.year=0,"本年",IF(R1030-current.year=1,"後年",IF(R1030-current.year=2,"後後年")))))</f>
        <v>後年</v>
      </c>
      <c r="D1030" s="609" t="str">
        <f>I992</f>
        <v>八月</v>
      </c>
      <c r="E1030" s="612">
        <f>J982</f>
        <v>6</v>
      </c>
      <c r="F1030" s="617" t="b">
        <f t="shared" si="140"/>
        <v>1</v>
      </c>
      <c r="G1030" s="627" t="str">
        <f t="shared" si="141"/>
        <v>己巳</v>
      </c>
      <c r="H1030" s="634">
        <f>MOD(INT(((I1029+615+499*F1029)+(H1029+27+29*F1029)*蔀月)/蔀月)-1,60)+1</f>
        <v>6</v>
      </c>
      <c r="I1030" s="629">
        <f>MOD(I1029+615+499*F1029,蔀月)</f>
        <v>547</v>
      </c>
      <c r="J1030" s="627" t="str">
        <f t="shared" si="143"/>
        <v>癸未</v>
      </c>
      <c r="K1030" s="634">
        <f>MOD(INT(((L1029+615+499*$F1029)+(K1029+27+29*$F1029)*蔀月)/蔀月)-1,60)+1</f>
        <v>20</v>
      </c>
      <c r="L1030" s="628">
        <f>MOD(L1029+615+499*I1029,蔀月)</f>
        <v>42.5</v>
      </c>
      <c r="M1030" s="656" t="str">
        <f>LOOKUP(IF(D1026="nearest",ROUND(MOD(Q1030*mean_lunation,mean_solar_year)/(medial_qi/2),0)+1,INT(MOD(Q1030*mean_lunation,mean_solar_year)/(medial_qi/2)))+1,Tables!$B$4:$B$27,Han.Solar.table.qi.names)</f>
        <v>白露</v>
      </c>
      <c r="N1030" s="661">
        <f>INDEX(Han.Solar.table.night.marks,MATCH('The Text'!M1030,Han.Solar.table.qi.names,0))</f>
        <v>42.2</v>
      </c>
      <c r="O1030" s="657" t="str">
        <f>IF(L1030&lt;N1030*蔀月/200,"筭上為日","")</f>
        <v>筭上為日</v>
      </c>
      <c r="Q1030" s="650">
        <f>I982</f>
        <v>3633</v>
      </c>
      <c r="R1030" s="651">
        <f>INT((Q1030-2-INT(Q1030*章閏/章月))/12)+Buhui.Head</f>
        <v>133</v>
      </c>
      <c r="S1030" s="543" t="str">
        <f t="shared" si="142"/>
        <v>己巳</v>
      </c>
      <c r="T1030" s="653">
        <f>MOD(INT(Q1030*mean_lunation)+蔀會名-1,60)+1</f>
        <v>6</v>
      </c>
      <c r="U1030" s="653">
        <f>(Q1030*mean_lunation-INT(Q1030*mean_lunation))*940</f>
        <v>546.99999999662396</v>
      </c>
    </row>
    <row r="1031" spans="1:21">
      <c r="H1031" s="631"/>
    </row>
    <row r="1032" spans="1:21" s="641" customFormat="1">
      <c r="A1032" s="638" t="s">
        <v>843</v>
      </c>
      <c r="B1032" s="639" t="s">
        <v>667</v>
      </c>
      <c r="C1032" s="640"/>
      <c r="D1032" s="640"/>
      <c r="E1032" s="640"/>
      <c r="F1032" s="640"/>
      <c r="G1032" s="640"/>
    </row>
    <row r="1033" spans="1:21">
      <c r="A1033" s="321" t="s">
        <v>860</v>
      </c>
      <c r="B1033" t="s">
        <v>844</v>
      </c>
      <c r="H1033" s="321" t="s">
        <v>847</v>
      </c>
      <c r="I1033">
        <f>IF($D$175="漢高皇帝受命四十有五歲",D29-Epochal.year,Years.Since.High.Origin)</f>
        <v>292</v>
      </c>
    </row>
    <row r="1034" spans="1:21">
      <c r="A1034" s="321"/>
      <c r="H1034" s="321" t="s">
        <v>804</v>
      </c>
      <c r="I1034">
        <f>INT(I1033/歲數)</f>
        <v>0</v>
      </c>
      <c r="J1034" s="642">
        <f>MOD(I1033,歲數)</f>
        <v>292</v>
      </c>
    </row>
    <row r="1035" spans="1:21">
      <c r="B1035" s="871" t="s">
        <v>846</v>
      </c>
      <c r="C1035" s="871"/>
      <c r="D1035" s="871"/>
      <c r="E1035" s="871"/>
      <c r="F1035" s="871"/>
      <c r="G1035" s="871"/>
    </row>
    <row r="1036" spans="1:21" ht="28.2" customHeight="1">
      <c r="B1036" s="871" t="s">
        <v>851</v>
      </c>
      <c r="C1036" s="871"/>
      <c r="D1036" s="871"/>
      <c r="E1036" s="871"/>
      <c r="F1036" s="871"/>
      <c r="G1036" s="871"/>
    </row>
    <row r="1037" spans="1:21">
      <c r="I1037" s="406"/>
      <c r="K1037" s="405"/>
    </row>
    <row r="1038" spans="1:21" ht="13.2" customHeight="1">
      <c r="B1038" t="s">
        <v>848</v>
      </c>
    </row>
    <row r="1039" spans="1:21">
      <c r="B1039" t="s">
        <v>849</v>
      </c>
      <c r="L1039" s="642"/>
    </row>
    <row r="1040" spans="1:21" ht="13.2" customHeight="1">
      <c r="B1040" t="s">
        <v>850</v>
      </c>
      <c r="L1040" s="642"/>
    </row>
    <row r="1041" spans="1:11" ht="13.2" customHeight="1">
      <c r="J1041" s="570"/>
    </row>
    <row r="1042" spans="1:11" s="26" customFormat="1">
      <c r="A1042" s="45"/>
      <c r="B1042" s="4"/>
      <c r="C1042" s="25"/>
      <c r="D1042" s="25"/>
      <c r="E1042" s="25"/>
      <c r="F1042" s="25"/>
      <c r="G1042" s="25"/>
      <c r="H1042" s="25"/>
      <c r="I1042" s="208"/>
    </row>
    <row r="1043" spans="1:11" s="641" customFormat="1">
      <c r="A1043" s="638" t="s">
        <v>852</v>
      </c>
      <c r="B1043" s="639" t="s">
        <v>853</v>
      </c>
      <c r="C1043" s="640"/>
      <c r="D1043" s="640"/>
      <c r="E1043" s="640"/>
      <c r="F1043" s="640"/>
      <c r="G1043" s="640"/>
    </row>
    <row r="1044" spans="1:11" ht="13.2" customHeight="1"/>
    <row r="1045" spans="1:11" ht="13.2" customHeight="1">
      <c r="B1045" s="871" t="s">
        <v>854</v>
      </c>
      <c r="C1045" s="871"/>
      <c r="D1045" s="871"/>
      <c r="E1045" s="871"/>
      <c r="F1045" s="871"/>
      <c r="G1045" s="871"/>
      <c r="H1045" s="563"/>
      <c r="I1045" s="563"/>
      <c r="J1045" s="563"/>
      <c r="K1045" s="563"/>
    </row>
    <row r="1046" spans="1:11" ht="13.2" customHeight="1" thickBot="1">
      <c r="B1046" s="563"/>
      <c r="C1046" s="563"/>
      <c r="D1046" s="563"/>
      <c r="E1046" s="563"/>
      <c r="F1046" s="563"/>
      <c r="G1046" s="563"/>
      <c r="H1046" s="563"/>
      <c r="I1046" s="563"/>
      <c r="J1046" s="563"/>
      <c r="K1046" s="563"/>
    </row>
    <row r="1047" spans="1:11" ht="13.2" customHeight="1" thickBot="1">
      <c r="B1047" s="568" t="s">
        <v>855</v>
      </c>
      <c r="C1047" s="554">
        <v>5</v>
      </c>
      <c r="D1047" s="643" t="str">
        <f>LOOKUP(C1047,eclipse.number,eclipse.year)</f>
        <v>後年</v>
      </c>
      <c r="E1047" s="643" t="str">
        <f>LOOKUP(C1047,eclipse.number,eclipse.month)</f>
        <v>八月</v>
      </c>
      <c r="F1047" s="646">
        <f>MOD(H1047-LOOKUP(C1047,eclipse.number,H1026:H1030),60)+1</f>
        <v>15</v>
      </c>
      <c r="G1047" s="645" t="str">
        <f>LOOKUP(C1047,eclipse.number,J1026:J1030)</f>
        <v>癸未</v>
      </c>
      <c r="H1047" s="647">
        <f>LOOKUP(C1047,eclipse.number,K1026:K1030)</f>
        <v>20</v>
      </c>
      <c r="I1047" s="644">
        <f>LOOKUP(C1047,eclipse.number,L1026:L1030)</f>
        <v>42.5</v>
      </c>
      <c r="J1047" s="663" t="str">
        <f>LOOKUP(C1047,eclipse.number,M1026:M1030)</f>
        <v>白露</v>
      </c>
      <c r="K1047" s="664">
        <f>LOOKUP(C1047,eclipse.number,N1026:N1030)</f>
        <v>42.2</v>
      </c>
    </row>
    <row r="1048" spans="1:11" ht="13.2" customHeight="1">
      <c r="B1048" s="563"/>
      <c r="C1048" s="563"/>
      <c r="D1048" s="563"/>
      <c r="E1048" s="563"/>
      <c r="F1048" s="563"/>
      <c r="G1048" s="563"/>
      <c r="H1048" s="563"/>
      <c r="I1048" s="563"/>
      <c r="J1048" s="563"/>
      <c r="K1048" s="563"/>
    </row>
    <row r="1049" spans="1:11" ht="13.2" customHeight="1"/>
    <row r="1050" spans="1:11">
      <c r="A1050" s="321" t="s">
        <v>863</v>
      </c>
      <c r="B1050" t="s">
        <v>856</v>
      </c>
      <c r="I1050">
        <f>I1047*12</f>
        <v>510</v>
      </c>
      <c r="J1050" s="642"/>
    </row>
    <row r="1051" spans="1:11" ht="12.6" customHeight="1">
      <c r="B1051" t="s">
        <v>857</v>
      </c>
      <c r="I1051">
        <f>I1050-12/2</f>
        <v>504</v>
      </c>
      <c r="J1051" s="642"/>
    </row>
    <row r="1052" spans="1:11">
      <c r="B1052" t="s">
        <v>858</v>
      </c>
      <c r="I1052">
        <f>INT(I1050/蔀月)</f>
        <v>0</v>
      </c>
      <c r="J1052" s="642">
        <f>MOD(I1051,蔀月)</f>
        <v>504</v>
      </c>
    </row>
    <row r="1053" spans="1:11">
      <c r="B1053" t="s">
        <v>859</v>
      </c>
      <c r="I1053" s="321" t="str">
        <f>CHOOSE(I1052+1,"子","丑","寅","卯","辰","巳","午","未","申","酉","戌","亥")</f>
        <v>子</v>
      </c>
    </row>
    <row r="1055" spans="1:11" s="641" customFormat="1">
      <c r="A1055" s="638" t="s">
        <v>861</v>
      </c>
      <c r="B1055" s="639" t="s">
        <v>862</v>
      </c>
      <c r="C1055" s="640"/>
      <c r="D1055" s="640"/>
      <c r="E1055" s="640"/>
      <c r="F1055" s="640"/>
      <c r="G1055" s="640"/>
    </row>
    <row r="1056" spans="1:11">
      <c r="A1056" s="321" t="s">
        <v>864</v>
      </c>
      <c r="B1056" t="s">
        <v>865</v>
      </c>
      <c r="I1056">
        <f>I1047*100</f>
        <v>4250</v>
      </c>
    </row>
    <row r="1057" spans="2:10">
      <c r="B1057" t="s">
        <v>866</v>
      </c>
      <c r="I1057">
        <f>INT(I1056/蔀月)</f>
        <v>4</v>
      </c>
      <c r="J1057" s="642">
        <f>MOD(I1056,蔀月)</f>
        <v>490</v>
      </c>
    </row>
    <row r="1058" spans="2:10">
      <c r="B1058" t="s">
        <v>867</v>
      </c>
      <c r="I1058">
        <f>J1057*10</f>
        <v>4900</v>
      </c>
    </row>
    <row r="1059" spans="2:10">
      <c r="B1059" t="s">
        <v>868</v>
      </c>
      <c r="I1059">
        <f>INT(I1058/蔀月)</f>
        <v>5</v>
      </c>
      <c r="J1059" s="642">
        <f>MOD(I1058,蔀月)</f>
        <v>200</v>
      </c>
    </row>
    <row r="1060" spans="2:10">
      <c r="J1060" s="642"/>
    </row>
    <row r="1061" spans="2:10" s="268" customFormat="1">
      <c r="B1061" s="563"/>
      <c r="C1061" s="563"/>
      <c r="D1061" s="563"/>
      <c r="E1061" s="563"/>
      <c r="F1061" s="583"/>
      <c r="G1061" s="583"/>
      <c r="H1061" s="583" t="s">
        <v>876</v>
      </c>
      <c r="I1061" s="525">
        <f>INT(K1047)</f>
        <v>42</v>
      </c>
      <c r="J1061" s="665">
        <f>MOD(K1047*10,10)</f>
        <v>2</v>
      </c>
    </row>
    <row r="1062" spans="2:10" s="268" customFormat="1">
      <c r="B1062" s="563"/>
      <c r="C1062" s="563"/>
      <c r="D1062" s="563"/>
      <c r="E1062" s="563"/>
      <c r="F1062" s="583"/>
      <c r="G1062" s="583"/>
      <c r="H1062" s="583" t="s">
        <v>872</v>
      </c>
      <c r="I1062" s="525">
        <f>INT(INT(K1047)/2)</f>
        <v>21</v>
      </c>
      <c r="J1062" s="665">
        <f>MOD(K1047*10/2,10)</f>
        <v>1</v>
      </c>
    </row>
    <row r="1064" spans="2:10" ht="13.95" customHeight="1">
      <c r="B1064" s="587"/>
      <c r="C1064" s="587"/>
      <c r="D1064" s="587"/>
      <c r="E1064" s="587"/>
      <c r="F1064" s="587"/>
      <c r="G1064" s="587"/>
      <c r="H1064" s="321" t="s">
        <v>874</v>
      </c>
      <c r="I1064" s="321" t="b">
        <f>(I1057*10+I1059)&gt;(I1062*10+J1062)</f>
        <v>0</v>
      </c>
    </row>
    <row r="1065" spans="2:10" ht="13.2" customHeight="1">
      <c r="B1065" s="268" t="s">
        <v>871</v>
      </c>
      <c r="G1065" s="587"/>
      <c r="H1065" s="208"/>
      <c r="I1065" s="268" t="str">
        <f>IF(I1064=TRUE(),INT(((I1057*10+I1059)-(I1062*10+J1062))/10),"")</f>
        <v/>
      </c>
      <c r="J1065" s="642" t="str">
        <f>IF(I1064=TRUE(),MOD(I1057*10+I1059-J1062,10),"")</f>
        <v/>
      </c>
    </row>
    <row r="1066" spans="2:10" ht="13.2" customHeight="1"/>
    <row r="1067" spans="2:10" ht="13.2" customHeight="1">
      <c r="B1067" s="583"/>
      <c r="C1067" s="583"/>
      <c r="D1067" s="583"/>
      <c r="E1067" s="583"/>
      <c r="F1067" s="583"/>
      <c r="G1067" s="583"/>
      <c r="H1067" s="583" t="s">
        <v>876</v>
      </c>
      <c r="I1067" s="525">
        <f>INT(100-K1047)</f>
        <v>57</v>
      </c>
      <c r="J1067" s="665">
        <f>10-J1061</f>
        <v>8</v>
      </c>
    </row>
    <row r="1068" spans="2:10" ht="13.2" customHeight="1"/>
    <row r="1069" spans="2:10" ht="13.2" customHeight="1">
      <c r="H1069" s="321" t="s">
        <v>874</v>
      </c>
      <c r="I1069" s="321" t="str">
        <f>IF(I1064=TRUE(),(I1065*10+J1065)&gt;(I1067*10+J1067),"")</f>
        <v/>
      </c>
    </row>
    <row r="1070" spans="2:10" ht="13.2" customHeight="1">
      <c r="B1070" t="s">
        <v>873</v>
      </c>
      <c r="H1070" s="321"/>
      <c r="I1070" t="str">
        <f>IF(I1069=TRUE(),INT(((I1065*10+J1065)-(I1067*10+J1067))/10),"")</f>
        <v/>
      </c>
      <c r="J1070" s="642" t="str">
        <f>IF(I1069=TRUE(),MOD(J1065-J1067,10),"")</f>
        <v/>
      </c>
    </row>
    <row r="1071" spans="2:10" ht="13.2" customHeight="1"/>
    <row r="1072" spans="2:10">
      <c r="B1072" t="s">
        <v>875</v>
      </c>
      <c r="I1072">
        <f>IF(I1064=FALSE(),INT(((I1062*10+J1062)-(I1057*10+I1059))/10),"")</f>
        <v>16</v>
      </c>
      <c r="J1072" s="642">
        <f>IF(I1064=FALSE(),MOD(J1062-I1059,10),"")</f>
        <v>6</v>
      </c>
    </row>
    <row r="1073" spans="1:9" ht="13.8" thickBot="1"/>
    <row r="1074" spans="1:9" s="3" customFormat="1" ht="26.4" thickTop="1" thickBot="1">
      <c r="A1074" s="2" t="s">
        <v>118</v>
      </c>
      <c r="B1074" s="3" t="s">
        <v>119</v>
      </c>
    </row>
    <row r="1075" spans="1:9" s="26" customFormat="1" ht="13.8" thickTop="1">
      <c r="A1075" s="45"/>
      <c r="B1075" s="95"/>
      <c r="C1075" s="25"/>
      <c r="D1075" s="25"/>
      <c r="E1075" s="25"/>
      <c r="F1075" s="25"/>
      <c r="G1075" s="25"/>
      <c r="H1075" s="25"/>
    </row>
    <row r="1076" spans="1:9" s="26" customFormat="1">
      <c r="A1076" s="684" t="s">
        <v>912</v>
      </c>
      <c r="B1076" s="95"/>
      <c r="C1076" s="25"/>
      <c r="D1076" s="25"/>
      <c r="E1076" s="25"/>
      <c r="F1076" s="25"/>
      <c r="G1076" s="25"/>
      <c r="H1076" s="25"/>
    </row>
    <row r="1077" spans="1:9" s="26" customFormat="1" ht="13.95" customHeight="1">
      <c r="A1077" s="321" t="s">
        <v>889</v>
      </c>
      <c r="B1077" s="78" t="s">
        <v>120</v>
      </c>
      <c r="C1077" s="78"/>
      <c r="D1077" s="78"/>
      <c r="E1077" s="78"/>
      <c r="F1077" s="78"/>
      <c r="G1077" s="78"/>
      <c r="H1077" s="25"/>
    </row>
    <row r="1078" spans="1:9" s="26" customFormat="1" ht="12" customHeight="1">
      <c r="A1078" s="321" t="s">
        <v>891</v>
      </c>
      <c r="B1078" s="78" t="s">
        <v>890</v>
      </c>
      <c r="C1078" s="566"/>
      <c r="D1078" s="566"/>
      <c r="E1078" s="566"/>
      <c r="F1078" s="566"/>
      <c r="G1078" s="566"/>
      <c r="H1078" s="25"/>
    </row>
    <row r="1079" spans="1:9" s="26" customFormat="1" ht="15" customHeight="1">
      <c r="A1079" s="321" t="s">
        <v>893</v>
      </c>
      <c r="B1079" s="78" t="s">
        <v>892</v>
      </c>
      <c r="C1079" s="566"/>
      <c r="D1079" s="566"/>
      <c r="E1079" s="566"/>
      <c r="F1079" s="566"/>
      <c r="G1079" s="566"/>
      <c r="H1079" s="25"/>
    </row>
    <row r="1080" spans="1:9" s="26" customFormat="1" ht="13.95" customHeight="1">
      <c r="A1080" s="321" t="s">
        <v>895</v>
      </c>
      <c r="B1080" s="78" t="s">
        <v>894</v>
      </c>
      <c r="C1080" s="566"/>
      <c r="D1080" s="566"/>
      <c r="E1080" s="566"/>
      <c r="F1080" s="566"/>
      <c r="G1080" s="566"/>
      <c r="H1080" s="25"/>
    </row>
    <row r="1081" spans="1:9" s="26" customFormat="1" ht="15" customHeight="1">
      <c r="A1081" s="321" t="s">
        <v>897</v>
      </c>
      <c r="B1081" s="78" t="s">
        <v>896</v>
      </c>
      <c r="C1081" s="566"/>
      <c r="D1081" s="566"/>
      <c r="E1081" s="566"/>
      <c r="F1081" s="566"/>
      <c r="G1081" s="566"/>
      <c r="H1081" s="25"/>
    </row>
    <row r="1082" spans="1:9" s="26" customFormat="1" ht="15" customHeight="1">
      <c r="A1082" s="321" t="s">
        <v>899</v>
      </c>
      <c r="B1082" s="78" t="s">
        <v>898</v>
      </c>
      <c r="C1082" s="566"/>
      <c r="D1082" s="566"/>
      <c r="E1082" s="566"/>
      <c r="F1082" s="566"/>
      <c r="G1082" s="566"/>
      <c r="H1082" s="25"/>
    </row>
    <row r="1083" spans="1:9" s="26" customFormat="1" ht="15" customHeight="1">
      <c r="A1083" s="321" t="s">
        <v>900</v>
      </c>
      <c r="B1083" s="78" t="s">
        <v>121</v>
      </c>
      <c r="C1083" s="566"/>
      <c r="D1083" s="566"/>
      <c r="E1083" s="566"/>
      <c r="F1083" s="566"/>
      <c r="G1083" s="566"/>
      <c r="H1083" s="25"/>
    </row>
    <row r="1084" spans="1:9" s="26" customFormat="1" ht="13.2" customHeight="1">
      <c r="A1084" s="45"/>
      <c r="B1084" s="912"/>
      <c r="C1084" s="912"/>
      <c r="D1084" s="912"/>
      <c r="E1084" s="912"/>
      <c r="F1084" s="912"/>
      <c r="G1084" s="912"/>
      <c r="H1084" s="25"/>
    </row>
    <row r="1085" spans="1:9" s="26" customFormat="1" ht="15" customHeight="1">
      <c r="A1085" s="45"/>
      <c r="B1085" s="871" t="s">
        <v>878</v>
      </c>
      <c r="C1085" s="871"/>
      <c r="D1085" s="871"/>
      <c r="E1085" s="871"/>
      <c r="F1085" s="871"/>
      <c r="G1085" s="871"/>
      <c r="H1085" s="871"/>
      <c r="I1085" s="871"/>
    </row>
    <row r="1086" spans="1:9" s="26" customFormat="1" ht="66" customHeight="1">
      <c r="A1086" s="45"/>
      <c r="B1086" s="296" t="s">
        <v>446</v>
      </c>
      <c r="C1086" s="871" t="s">
        <v>886</v>
      </c>
      <c r="D1086" s="871"/>
      <c r="E1086" s="871"/>
      <c r="F1086" s="871"/>
      <c r="G1086" s="871"/>
      <c r="H1086" s="871"/>
      <c r="I1086" s="871"/>
    </row>
    <row r="1087" spans="1:9" s="26" customFormat="1" ht="55.2" customHeight="1">
      <c r="A1087" s="45"/>
      <c r="B1087" s="296" t="s">
        <v>447</v>
      </c>
      <c r="C1087" s="871" t="s">
        <v>880</v>
      </c>
      <c r="D1087" s="871"/>
      <c r="E1087" s="871"/>
      <c r="F1087" s="871"/>
      <c r="G1087" s="871"/>
      <c r="H1087" s="871"/>
      <c r="I1087" s="871"/>
    </row>
    <row r="1088" spans="1:9" s="26" customFormat="1" ht="13.95" customHeight="1">
      <c r="A1088" s="45"/>
      <c r="B1088" s="296"/>
      <c r="C1088" s="565"/>
      <c r="D1088" s="565"/>
      <c r="E1088" s="565"/>
      <c r="F1088" s="565"/>
      <c r="G1088" s="565"/>
      <c r="H1088" s="565"/>
      <c r="I1088" s="565"/>
    </row>
    <row r="1089" spans="1:18" s="26" customFormat="1" ht="15" customHeight="1">
      <c r="A1089" s="45"/>
      <c r="B1089" s="565"/>
      <c r="C1089" s="407" t="s">
        <v>879</v>
      </c>
      <c r="D1089" s="407">
        <f>木日率/木周率</f>
        <v>1.0919805870117865</v>
      </c>
      <c r="E1089" s="670" t="s">
        <v>884</v>
      </c>
      <c r="F1089" s="565"/>
      <c r="G1089" s="565"/>
      <c r="H1089" s="565"/>
      <c r="I1089" s="565"/>
    </row>
    <row r="1090" spans="1:18" s="26" customFormat="1" ht="15" customHeight="1">
      <c r="A1090" s="45"/>
      <c r="B1090" s="565"/>
      <c r="C1090" s="407" t="s">
        <v>881</v>
      </c>
      <c r="D1090" s="407">
        <f>D1089*章月/章法</f>
        <v>13.506075681461569</v>
      </c>
      <c r="E1090" s="670" t="s">
        <v>883</v>
      </c>
      <c r="F1090" s="565"/>
      <c r="G1090" s="565"/>
      <c r="H1090" s="565"/>
      <c r="I1090" s="565"/>
    </row>
    <row r="1091" spans="1:18" s="26" customFormat="1" ht="15" customHeight="1">
      <c r="A1091" s="45"/>
      <c r="B1091" s="565"/>
      <c r="C1091" s="407" t="s">
        <v>882</v>
      </c>
      <c r="D1091" s="407">
        <f>D1090*mean_lunation</f>
        <v>398.845909406055</v>
      </c>
      <c r="E1091" s="670" t="s">
        <v>885</v>
      </c>
      <c r="F1091" s="565"/>
      <c r="G1091" s="565"/>
      <c r="H1091" s="565"/>
      <c r="I1091" s="565"/>
    </row>
    <row r="1092" spans="1:18" s="26" customFormat="1" ht="15" customHeight="1">
      <c r="A1092" s="45"/>
      <c r="B1092" s="565"/>
      <c r="C1092" s="565"/>
      <c r="D1092" s="407"/>
      <c r="E1092" s="565"/>
      <c r="F1092" s="565"/>
      <c r="G1092" s="565"/>
      <c r="H1092" s="565"/>
      <c r="I1092" s="565"/>
    </row>
    <row r="1093" spans="1:18" s="26" customFormat="1" ht="66" customHeight="1">
      <c r="A1093" s="45"/>
      <c r="B1093" s="296" t="s">
        <v>453</v>
      </c>
      <c r="C1093" s="871" t="s">
        <v>902</v>
      </c>
      <c r="D1093" s="871"/>
      <c r="E1093" s="871"/>
      <c r="F1093" s="871"/>
      <c r="G1093" s="871"/>
      <c r="H1093" s="871"/>
      <c r="I1093" s="871"/>
    </row>
    <row r="1094" spans="1:18" s="26" customFormat="1" ht="15" customHeight="1">
      <c r="A1094" s="45"/>
      <c r="B1094" s="565"/>
      <c r="C1094" s="565"/>
      <c r="D1094" s="565"/>
      <c r="E1094" s="565"/>
      <c r="F1094" s="565"/>
      <c r="G1094" s="565"/>
      <c r="H1094" s="565"/>
      <c r="I1094" s="565"/>
    </row>
    <row r="1095" spans="1:18" s="26" customFormat="1" ht="15" customHeight="1">
      <c r="A1095" s="45"/>
      <c r="B1095" s="399"/>
      <c r="C1095" s="583" t="s">
        <v>887</v>
      </c>
      <c r="D1095" s="583">
        <f>木日率-木周率</f>
        <v>398</v>
      </c>
      <c r="E1095" s="399"/>
      <c r="F1095" s="399"/>
      <c r="G1095" s="399"/>
      <c r="H1095" s="399"/>
      <c r="I1095" s="399"/>
    </row>
    <row r="1096" spans="1:18" s="26" customFormat="1" ht="15" customHeight="1">
      <c r="A1096" s="45"/>
      <c r="B1096" s="399"/>
      <c r="C1096" s="685" t="s">
        <v>888</v>
      </c>
      <c r="D1096" s="583">
        <f>D1095*mean_solar_year</f>
        <v>145369.5</v>
      </c>
      <c r="E1096" s="399"/>
      <c r="F1096" s="399"/>
      <c r="G1096" s="399"/>
      <c r="H1096" s="399"/>
      <c r="I1096" s="399"/>
    </row>
    <row r="1097" spans="1:18" s="26" customFormat="1" ht="15" customHeight="1">
      <c r="A1097" s="45"/>
      <c r="B1097" s="399"/>
      <c r="C1097" s="685" t="s">
        <v>901</v>
      </c>
      <c r="D1097" s="583">
        <f>D1096/木周率</f>
        <v>33.595909406055</v>
      </c>
      <c r="E1097" s="399" t="s">
        <v>903</v>
      </c>
      <c r="F1097" s="399"/>
      <c r="G1097" s="399"/>
      <c r="H1097" s="399"/>
      <c r="I1097" s="399"/>
    </row>
    <row r="1098" spans="1:18" s="26" customFormat="1" ht="15" customHeight="1">
      <c r="A1098" s="45"/>
      <c r="B1098" s="399"/>
      <c r="C1098" s="583"/>
      <c r="D1098" s="583"/>
      <c r="E1098" s="399"/>
      <c r="F1098" s="399"/>
      <c r="G1098" s="399"/>
      <c r="H1098" s="399"/>
      <c r="I1098" s="399"/>
    </row>
    <row r="1099" spans="1:18" s="26" customFormat="1" ht="15" customHeight="1">
      <c r="A1099" s="45"/>
      <c r="B1099" s="686" t="s">
        <v>457</v>
      </c>
      <c r="C1099" s="913" t="s">
        <v>904</v>
      </c>
      <c r="D1099" s="913"/>
      <c r="E1099" s="913"/>
      <c r="F1099" s="913"/>
      <c r="G1099" s="913"/>
      <c r="H1099" s="913"/>
      <c r="I1099" s="913"/>
    </row>
    <row r="1100" spans="1:18" s="26" customFormat="1" ht="15" customHeight="1">
      <c r="A1100" s="45"/>
      <c r="B1100" s="399"/>
      <c r="C1100" s="399"/>
      <c r="D1100" s="399"/>
      <c r="E1100" s="399"/>
      <c r="F1100" s="399"/>
      <c r="G1100" s="399"/>
      <c r="H1100" s="399"/>
      <c r="I1100" s="399"/>
    </row>
    <row r="1102" spans="1:18" s="10" customFormat="1" ht="21">
      <c r="A1102" s="86"/>
      <c r="B1102" s="681" t="s">
        <v>122</v>
      </c>
      <c r="C1102" s="682"/>
      <c r="D1102" s="682"/>
      <c r="E1102" s="682"/>
      <c r="F1102" s="683"/>
      <c r="Q1102" s="11"/>
      <c r="R1102" s="11"/>
    </row>
    <row r="1103" spans="1:18" s="10" customFormat="1" ht="12" customHeight="1">
      <c r="A1103" s="687">
        <v>86</v>
      </c>
      <c r="B1103" s="673" t="s">
        <v>123</v>
      </c>
      <c r="C1103" s="672"/>
      <c r="D1103" s="672"/>
      <c r="E1103" s="672"/>
      <c r="F1103" s="674">
        <v>4327</v>
      </c>
      <c r="H1103" s="96"/>
      <c r="Q1103" s="11"/>
      <c r="R1103" s="11"/>
    </row>
    <row r="1104" spans="1:18" s="10" customFormat="1" ht="12" customHeight="1">
      <c r="A1104" s="687">
        <f>A1103+1</f>
        <v>87</v>
      </c>
      <c r="B1104" s="673" t="s">
        <v>124</v>
      </c>
      <c r="C1104" s="672"/>
      <c r="D1104" s="672"/>
      <c r="E1104" s="672"/>
      <c r="F1104" s="674">
        <v>4725</v>
      </c>
      <c r="Q1104" s="11"/>
      <c r="R1104" s="11"/>
    </row>
    <row r="1105" spans="1:18" s="10" customFormat="1" ht="12" customHeight="1">
      <c r="A1105" s="687">
        <f t="shared" ref="A1105:A1115" si="144">A1104+1</f>
        <v>88</v>
      </c>
      <c r="B1105" s="675" t="s">
        <v>125</v>
      </c>
      <c r="C1105" s="671"/>
      <c r="D1105" s="671"/>
      <c r="E1105" s="671"/>
      <c r="F1105" s="676">
        <f>INT(章月*木日率/木月法)</f>
        <v>13</v>
      </c>
      <c r="Q1105" s="11"/>
      <c r="R1105" s="11"/>
    </row>
    <row r="1106" spans="1:18" s="10" customFormat="1" ht="12" customHeight="1">
      <c r="A1106" s="687">
        <f t="shared" si="144"/>
        <v>89</v>
      </c>
      <c r="B1106" s="677" t="s">
        <v>126</v>
      </c>
      <c r="C1106" s="671"/>
      <c r="D1106" s="671"/>
      <c r="E1106" s="671"/>
      <c r="F1106" s="676">
        <f>MOD(章月*木日率,木月法)</f>
        <v>41606</v>
      </c>
      <c r="Q1106" s="11"/>
      <c r="R1106" s="11"/>
    </row>
    <row r="1107" spans="1:18" s="10" customFormat="1" ht="12" customHeight="1">
      <c r="A1107" s="687">
        <f t="shared" si="144"/>
        <v>90</v>
      </c>
      <c r="B1107" s="677" t="s">
        <v>127</v>
      </c>
      <c r="C1107" s="671"/>
      <c r="D1107" s="671"/>
      <c r="E1107" s="671"/>
      <c r="F1107" s="676">
        <f>章法*木周率</f>
        <v>82213</v>
      </c>
      <c r="Q1107" s="11"/>
      <c r="R1107" s="11"/>
    </row>
    <row r="1108" spans="1:18" s="10" customFormat="1" ht="12" customHeight="1">
      <c r="A1108" s="687">
        <f t="shared" si="144"/>
        <v>91</v>
      </c>
      <c r="B1108" s="677" t="s">
        <v>128</v>
      </c>
      <c r="C1108" s="671"/>
      <c r="D1108" s="671"/>
      <c r="E1108" s="671"/>
      <c r="F1108" s="676">
        <f>INT(MOD(木合積月*蔀日/蔀月,60))</f>
        <v>23</v>
      </c>
      <c r="H1108"/>
      <c r="I1108"/>
      <c r="J1108"/>
      <c r="K1108"/>
      <c r="Q1108" s="11"/>
      <c r="R1108" s="11"/>
    </row>
    <row r="1109" spans="1:18" s="10" customFormat="1" ht="12" customHeight="1">
      <c r="A1109" s="687">
        <f t="shared" si="144"/>
        <v>92</v>
      </c>
      <c r="B1109" s="677" t="s">
        <v>129</v>
      </c>
      <c r="C1109" s="671"/>
      <c r="D1109" s="671"/>
      <c r="E1109" s="671"/>
      <c r="F1109" s="676">
        <f>MOD(木合積月*蔀日,蔀月)</f>
        <v>847</v>
      </c>
      <c r="H1109"/>
      <c r="I1109"/>
      <c r="J1109"/>
      <c r="K1109"/>
      <c r="Q1109" s="11"/>
      <c r="R1109" s="11"/>
    </row>
    <row r="1110" spans="1:18" s="10" customFormat="1" ht="12" customHeight="1">
      <c r="A1110" s="687">
        <f t="shared" si="144"/>
        <v>93</v>
      </c>
      <c r="B1110" s="677" t="s">
        <v>130</v>
      </c>
      <c r="C1110" s="671"/>
      <c r="D1110" s="671"/>
      <c r="E1110" s="671"/>
      <c r="F1110" s="676">
        <f>蔀月-木小餘</f>
        <v>93</v>
      </c>
      <c r="H1110"/>
      <c r="I1110"/>
      <c r="J1110"/>
      <c r="K1110"/>
      <c r="Q1110" s="11"/>
      <c r="R1110" s="11"/>
    </row>
    <row r="1111" spans="1:18" s="10" customFormat="1" ht="12" customHeight="1">
      <c r="A1111" s="687">
        <f t="shared" si="144"/>
        <v>94</v>
      </c>
      <c r="B1111" s="677" t="s">
        <v>131</v>
      </c>
      <c r="C1111" s="671"/>
      <c r="D1111" s="671"/>
      <c r="E1111" s="671"/>
      <c r="F1111" s="676">
        <f>INT((木月餘/木月法)*(蔀日/蔀月)+木小餘/蔀月)</f>
        <v>15</v>
      </c>
      <c r="H1111"/>
      <c r="I1111"/>
      <c r="J1111"/>
      <c r="K1111"/>
      <c r="Q1111" s="11"/>
      <c r="R1111" s="11"/>
    </row>
    <row r="1112" spans="1:18" s="10" customFormat="1" ht="12" customHeight="1">
      <c r="A1112" s="687">
        <f t="shared" si="144"/>
        <v>95</v>
      </c>
      <c r="B1112" s="677" t="s">
        <v>877</v>
      </c>
      <c r="C1112" s="671"/>
      <c r="D1112" s="671"/>
      <c r="E1112" s="671"/>
      <c r="F1112" s="676">
        <f>((木月餘/木月法)*(蔀日/蔀月)+木小餘/蔀月-INT((木月餘/木月法)*(蔀日/蔀月)+木小餘/蔀月))*木日度法</f>
        <v>14640.999999999973</v>
      </c>
      <c r="H1112"/>
      <c r="I1112"/>
      <c r="J1112"/>
      <c r="K1112"/>
      <c r="Q1112" s="11"/>
      <c r="R1112" s="11"/>
    </row>
    <row r="1113" spans="1:18" s="10" customFormat="1" ht="12" customHeight="1">
      <c r="A1113" s="687">
        <f t="shared" si="144"/>
        <v>96</v>
      </c>
      <c r="B1113" s="677" t="s">
        <v>132</v>
      </c>
      <c r="C1113" s="671"/>
      <c r="D1113" s="671"/>
      <c r="E1113" s="671"/>
      <c r="F1113" s="676">
        <f>木周率*日法</f>
        <v>17308</v>
      </c>
      <c r="H1113"/>
      <c r="I1113"/>
      <c r="J1113"/>
      <c r="K1113"/>
      <c r="Q1113" s="11"/>
      <c r="R1113" s="11"/>
    </row>
    <row r="1114" spans="1:18" s="10" customFormat="1" ht="12" customHeight="1">
      <c r="A1114" s="687">
        <f t="shared" si="144"/>
        <v>97</v>
      </c>
      <c r="B1114" s="677" t="s">
        <v>133</v>
      </c>
      <c r="C1114" s="671"/>
      <c r="D1114" s="671"/>
      <c r="E1114" s="671"/>
      <c r="F1114" s="676">
        <f>INT((木日率-木周率)*周天/木日度法)</f>
        <v>33</v>
      </c>
      <c r="H1114"/>
      <c r="I1114"/>
      <c r="J1114"/>
      <c r="K1114"/>
      <c r="Q1114" s="11"/>
      <c r="R1114" s="11"/>
    </row>
    <row r="1115" spans="1:18" s="10" customFormat="1" ht="12" customHeight="1">
      <c r="A1115" s="687">
        <f t="shared" si="144"/>
        <v>98</v>
      </c>
      <c r="B1115" s="678" t="s">
        <v>134</v>
      </c>
      <c r="C1115" s="679"/>
      <c r="D1115" s="679"/>
      <c r="E1115" s="679"/>
      <c r="F1115" s="680">
        <f>MOD((木日率-木周率)*周天,木日度法)</f>
        <v>10314</v>
      </c>
      <c r="H1115"/>
      <c r="I1115"/>
      <c r="J1115"/>
      <c r="K1115"/>
      <c r="Q1115" s="11"/>
      <c r="R1115" s="11"/>
    </row>
    <row r="1116" spans="1:18" s="10" customFormat="1" ht="14.4" thickBot="1">
      <c r="A1116"/>
      <c r="B1116"/>
      <c r="C1116"/>
      <c r="D1116"/>
      <c r="E1116"/>
      <c r="F1116"/>
      <c r="G1116"/>
      <c r="H1116"/>
      <c r="I1116"/>
      <c r="J1116"/>
      <c r="Q1116" s="11"/>
      <c r="R1116" s="11"/>
    </row>
    <row r="1117" spans="1:18" s="10" customFormat="1" ht="21">
      <c r="A1117"/>
      <c r="B1117" s="667" t="s">
        <v>135</v>
      </c>
      <c r="C1117" s="668"/>
      <c r="D1117" s="668"/>
      <c r="E1117" s="668"/>
      <c r="F1117" s="669"/>
      <c r="Q1117" s="11"/>
      <c r="R1117" s="11"/>
    </row>
    <row r="1118" spans="1:18" s="691" customFormat="1" ht="13.2" customHeight="1">
      <c r="A1118" s="690">
        <f>A1115+1</f>
        <v>99</v>
      </c>
      <c r="B1118" s="673" t="s">
        <v>136</v>
      </c>
      <c r="C1118" s="672"/>
      <c r="D1118" s="672"/>
      <c r="E1118" s="672"/>
      <c r="F1118" s="674">
        <v>879</v>
      </c>
      <c r="H1118" s="692"/>
      <c r="Q1118" s="693"/>
      <c r="R1118" s="693"/>
    </row>
    <row r="1119" spans="1:18" s="691" customFormat="1" ht="13.2" customHeight="1">
      <c r="A1119" s="690">
        <f>A1118+1</f>
        <v>100</v>
      </c>
      <c r="B1119" s="673" t="s">
        <v>137</v>
      </c>
      <c r="C1119" s="672"/>
      <c r="D1119" s="672"/>
      <c r="E1119" s="672"/>
      <c r="F1119" s="674">
        <v>1876</v>
      </c>
      <c r="Q1119" s="693"/>
      <c r="R1119" s="693"/>
    </row>
    <row r="1120" spans="1:18" s="691" customFormat="1" ht="13.2" customHeight="1">
      <c r="A1120" s="690">
        <f t="shared" ref="A1120:A1130" si="145">A1119+1</f>
        <v>101</v>
      </c>
      <c r="B1120" s="694" t="s">
        <v>138</v>
      </c>
      <c r="C1120" s="14"/>
      <c r="D1120" s="14"/>
      <c r="E1120" s="14"/>
      <c r="F1120" s="695">
        <f>INT(章月*火日率/火月法)</f>
        <v>26</v>
      </c>
      <c r="Q1120" s="693"/>
      <c r="R1120" s="693"/>
    </row>
    <row r="1121" spans="1:18" s="691" customFormat="1" ht="13.2" customHeight="1">
      <c r="A1121" s="690">
        <f t="shared" si="145"/>
        <v>102</v>
      </c>
      <c r="B1121" s="689" t="s">
        <v>139</v>
      </c>
      <c r="C1121" s="14"/>
      <c r="D1121" s="14"/>
      <c r="E1121" s="14"/>
      <c r="F1121" s="695">
        <f>MOD(章月*火日率,火月法)</f>
        <v>6634</v>
      </c>
      <c r="Q1121" s="693"/>
      <c r="R1121" s="693"/>
    </row>
    <row r="1122" spans="1:18" s="691" customFormat="1" ht="13.2" customHeight="1">
      <c r="A1122" s="690">
        <f t="shared" si="145"/>
        <v>103</v>
      </c>
      <c r="B1122" s="689" t="s">
        <v>140</v>
      </c>
      <c r="C1122" s="14"/>
      <c r="D1122" s="14"/>
      <c r="E1122" s="14"/>
      <c r="F1122" s="695">
        <f>章法*火周率</f>
        <v>16701</v>
      </c>
      <c r="Q1122" s="693"/>
      <c r="R1122" s="693"/>
    </row>
    <row r="1123" spans="1:18" s="691" customFormat="1" ht="13.2" customHeight="1">
      <c r="A1123" s="690">
        <f t="shared" si="145"/>
        <v>104</v>
      </c>
      <c r="B1123" s="689" t="s">
        <v>141</v>
      </c>
      <c r="C1123" s="14"/>
      <c r="D1123" s="14"/>
      <c r="E1123" s="14"/>
      <c r="F1123" s="695">
        <f>INT(MOD(火合積月*蔀日/蔀月,60))</f>
        <v>47</v>
      </c>
      <c r="Q1123" s="693"/>
      <c r="R1123" s="693"/>
    </row>
    <row r="1124" spans="1:18" s="691" customFormat="1" ht="13.2" customHeight="1">
      <c r="A1124" s="690">
        <f t="shared" si="145"/>
        <v>105</v>
      </c>
      <c r="B1124" s="689" t="s">
        <v>142</v>
      </c>
      <c r="C1124" s="14"/>
      <c r="D1124" s="14"/>
      <c r="E1124" s="14"/>
      <c r="F1124" s="695">
        <f>MOD(火合積月*蔀日,蔀月)</f>
        <v>754</v>
      </c>
      <c r="Q1124" s="693"/>
      <c r="R1124" s="693"/>
    </row>
    <row r="1125" spans="1:18" s="691" customFormat="1" ht="13.2" customHeight="1">
      <c r="A1125" s="690">
        <f t="shared" si="145"/>
        <v>106</v>
      </c>
      <c r="B1125" s="689" t="s">
        <v>143</v>
      </c>
      <c r="C1125" s="14"/>
      <c r="D1125" s="14"/>
      <c r="E1125" s="14"/>
      <c r="F1125" s="695">
        <f>蔀月-火小餘</f>
        <v>186</v>
      </c>
      <c r="H1125" s="696"/>
      <c r="Q1125" s="693"/>
      <c r="R1125" s="693"/>
    </row>
    <row r="1126" spans="1:18" s="691" customFormat="1" ht="13.2" customHeight="1">
      <c r="A1126" s="690">
        <f t="shared" si="145"/>
        <v>107</v>
      </c>
      <c r="B1126" s="689" t="s">
        <v>905</v>
      </c>
      <c r="C1126" s="79"/>
      <c r="D1126" s="79"/>
      <c r="E1126" s="79"/>
      <c r="F1126" s="695">
        <f>INT((火月餘/火月法)*(蔀日/蔀月)+火小餘/蔀月)</f>
        <v>12</v>
      </c>
      <c r="H1126" s="696"/>
      <c r="Q1126" s="693"/>
      <c r="R1126" s="693"/>
    </row>
    <row r="1127" spans="1:18" s="691" customFormat="1" ht="13.2" customHeight="1">
      <c r="A1127" s="690">
        <f t="shared" si="145"/>
        <v>108</v>
      </c>
      <c r="B1127" s="689" t="s">
        <v>144</v>
      </c>
      <c r="C1127" s="14"/>
      <c r="D1127" s="14"/>
      <c r="E1127" s="14"/>
      <c r="F1127" s="695">
        <f>((火月餘/火月法)*(蔀日/蔀月)+火小餘/蔀月-INT((火月餘/火月法)*(蔀日/蔀月)+火小餘/蔀月))*火日度法</f>
        <v>1871.9999999999998</v>
      </c>
      <c r="H1127" s="23"/>
      <c r="I1127" s="23"/>
      <c r="Q1127" s="693"/>
      <c r="R1127" s="693"/>
    </row>
    <row r="1128" spans="1:18" s="691" customFormat="1" ht="13.2" customHeight="1">
      <c r="A1128" s="690">
        <f t="shared" si="145"/>
        <v>109</v>
      </c>
      <c r="B1128" s="697" t="s">
        <v>145</v>
      </c>
      <c r="C1128" s="79"/>
      <c r="D1128" s="79"/>
      <c r="E1128" s="79"/>
      <c r="F1128" s="695">
        <f>火周率*日法</f>
        <v>3516</v>
      </c>
      <c r="H1128" s="23"/>
      <c r="I1128" s="23"/>
      <c r="Q1128" s="693"/>
      <c r="R1128" s="693"/>
    </row>
    <row r="1129" spans="1:18" s="691" customFormat="1" ht="13.2" customHeight="1">
      <c r="A1129" s="690">
        <f t="shared" si="145"/>
        <v>110</v>
      </c>
      <c r="B1129" s="697" t="s">
        <v>146</v>
      </c>
      <c r="C1129" s="79"/>
      <c r="D1129" s="79"/>
      <c r="E1129" s="79"/>
      <c r="F1129" s="695">
        <f>INT(MOD((火日率-火周率)*周天/火日度法,365.25))</f>
        <v>49</v>
      </c>
      <c r="H1129" s="23"/>
      <c r="I1129" s="23"/>
      <c r="Q1129" s="693"/>
      <c r="R1129" s="693"/>
    </row>
    <row r="1130" spans="1:18" s="691" customFormat="1" ht="13.2" customHeight="1" thickBot="1">
      <c r="A1130" s="690">
        <f t="shared" si="145"/>
        <v>111</v>
      </c>
      <c r="B1130" s="698" t="s">
        <v>147</v>
      </c>
      <c r="C1130" s="699"/>
      <c r="D1130" s="699"/>
      <c r="E1130" s="699"/>
      <c r="F1130" s="700">
        <f>MOD(MOD((火日率-火周率)*周天,火周率*周天),火日度法)</f>
        <v>114</v>
      </c>
      <c r="H1130" s="696"/>
      <c r="Q1130" s="693"/>
      <c r="R1130" s="693"/>
    </row>
    <row r="1131" spans="1:18" s="10" customFormat="1" ht="14.4" thickBot="1">
      <c r="A1131"/>
      <c r="B1131"/>
      <c r="C1131"/>
      <c r="D1131"/>
      <c r="E1131"/>
      <c r="F1131"/>
      <c r="G1131"/>
      <c r="H1131"/>
      <c r="I1131"/>
      <c r="J1131"/>
      <c r="Q1131" s="11"/>
      <c r="R1131" s="11"/>
    </row>
    <row r="1132" spans="1:18" s="10" customFormat="1" ht="21">
      <c r="A1132"/>
      <c r="B1132" s="667" t="s">
        <v>148</v>
      </c>
      <c r="C1132" s="668"/>
      <c r="D1132" s="668"/>
      <c r="E1132" s="668"/>
      <c r="F1132" s="669"/>
      <c r="G1132"/>
      <c r="H1132"/>
      <c r="I1132"/>
      <c r="J1132"/>
      <c r="Q1132" s="11"/>
      <c r="R1132" s="11"/>
    </row>
    <row r="1133" spans="1:18" s="10" customFormat="1" ht="13.2" customHeight="1">
      <c r="A1133" s="688">
        <f>A1130+1</f>
        <v>112</v>
      </c>
      <c r="B1133" s="673" t="s">
        <v>149</v>
      </c>
      <c r="C1133" s="672"/>
      <c r="D1133" s="672"/>
      <c r="E1133" s="672"/>
      <c r="F1133" s="674">
        <v>9096</v>
      </c>
      <c r="G1133"/>
      <c r="H1133"/>
      <c r="I1133"/>
      <c r="J1133"/>
      <c r="Q1133" s="11"/>
      <c r="R1133" s="11"/>
    </row>
    <row r="1134" spans="1:18" s="10" customFormat="1" ht="13.2" customHeight="1">
      <c r="A1134" s="690">
        <f t="shared" ref="A1134:A1145" si="146">A1133+1</f>
        <v>113</v>
      </c>
      <c r="B1134" s="673" t="s">
        <v>150</v>
      </c>
      <c r="C1134" s="672"/>
      <c r="D1134" s="672"/>
      <c r="E1134" s="672"/>
      <c r="F1134" s="674">
        <v>9415</v>
      </c>
      <c r="G1134"/>
      <c r="H1134"/>
      <c r="I1134"/>
      <c r="J1134"/>
      <c r="Q1134" s="11"/>
      <c r="R1134" s="11"/>
    </row>
    <row r="1135" spans="1:18" s="10" customFormat="1" ht="13.2" customHeight="1">
      <c r="A1135" s="690">
        <f t="shared" si="146"/>
        <v>114</v>
      </c>
      <c r="B1135" s="694" t="s">
        <v>151</v>
      </c>
      <c r="C1135" s="14"/>
      <c r="D1135" s="14"/>
      <c r="E1135" s="14"/>
      <c r="F1135" s="695">
        <f>INT(章月*土日率/土月法)</f>
        <v>12</v>
      </c>
      <c r="G1135"/>
      <c r="H1135"/>
      <c r="I1135"/>
      <c r="J1135"/>
      <c r="Q1135" s="11"/>
      <c r="R1135" s="11"/>
    </row>
    <row r="1136" spans="1:18" s="10" customFormat="1" ht="13.2" customHeight="1">
      <c r="A1136" s="690">
        <f t="shared" si="146"/>
        <v>115</v>
      </c>
      <c r="B1136" s="689" t="s">
        <v>152</v>
      </c>
      <c r="C1136" s="14"/>
      <c r="D1136" s="14"/>
      <c r="E1136" s="14"/>
      <c r="F1136" s="695">
        <f>MOD(章月*土日率,土月法)</f>
        <v>138637</v>
      </c>
      <c r="G1136"/>
      <c r="H1136"/>
      <c r="I1136"/>
      <c r="J1136"/>
      <c r="Q1136" s="11"/>
      <c r="R1136" s="11"/>
    </row>
    <row r="1137" spans="1:18" s="10" customFormat="1" ht="13.2" customHeight="1">
      <c r="A1137" s="690">
        <f t="shared" si="146"/>
        <v>116</v>
      </c>
      <c r="B1137" s="689" t="s">
        <v>153</v>
      </c>
      <c r="C1137" s="14"/>
      <c r="D1137" s="14"/>
      <c r="E1137" s="14"/>
      <c r="F1137" s="695">
        <f>章法*土周率</f>
        <v>172824</v>
      </c>
      <c r="G1137"/>
      <c r="H1137"/>
      <c r="I1137"/>
      <c r="J1137"/>
      <c r="Q1137" s="11"/>
      <c r="R1137" s="11"/>
    </row>
    <row r="1138" spans="1:18" s="10" customFormat="1" ht="13.2" customHeight="1">
      <c r="A1138" s="690">
        <f t="shared" si="146"/>
        <v>117</v>
      </c>
      <c r="B1138" s="689" t="s">
        <v>154</v>
      </c>
      <c r="C1138" s="14"/>
      <c r="D1138" s="14"/>
      <c r="E1138" s="14"/>
      <c r="F1138" s="695">
        <f>INT(MOD(土合積月*蔀日/蔀月,60))</f>
        <v>54</v>
      </c>
      <c r="G1138"/>
      <c r="H1138"/>
      <c r="I1138"/>
      <c r="J1138"/>
      <c r="Q1138" s="11"/>
      <c r="R1138" s="11"/>
    </row>
    <row r="1139" spans="1:18" s="10" customFormat="1" ht="13.2" customHeight="1">
      <c r="A1139" s="690">
        <f t="shared" si="146"/>
        <v>118</v>
      </c>
      <c r="B1139" s="689" t="s">
        <v>155</v>
      </c>
      <c r="C1139" s="14"/>
      <c r="D1139" s="14"/>
      <c r="E1139" s="14"/>
      <c r="F1139" s="695">
        <f>MOD(土合積月*蔀日,蔀月)</f>
        <v>348</v>
      </c>
      <c r="G1139"/>
      <c r="H1139"/>
      <c r="I1139"/>
      <c r="J1139"/>
      <c r="Q1139" s="11"/>
      <c r="R1139" s="11"/>
    </row>
    <row r="1140" spans="1:18" s="10" customFormat="1" ht="13.2" customHeight="1">
      <c r="A1140" s="690">
        <f t="shared" si="146"/>
        <v>119</v>
      </c>
      <c r="B1140" s="689" t="s">
        <v>156</v>
      </c>
      <c r="C1140" s="14"/>
      <c r="D1140" s="14"/>
      <c r="E1140" s="14"/>
      <c r="F1140" s="695">
        <f>蔀月-土小餘</f>
        <v>592</v>
      </c>
      <c r="G1140"/>
      <c r="H1140"/>
      <c r="I1140"/>
      <c r="J1140"/>
      <c r="Q1140" s="11"/>
      <c r="R1140" s="11"/>
    </row>
    <row r="1141" spans="1:18" s="10" customFormat="1" ht="13.2" customHeight="1">
      <c r="A1141" s="690">
        <f t="shared" si="146"/>
        <v>120</v>
      </c>
      <c r="B1141" s="689" t="s">
        <v>906</v>
      </c>
      <c r="C1141" s="79"/>
      <c r="D1141" s="79"/>
      <c r="E1141" s="79"/>
      <c r="F1141" s="695">
        <f>INT((土月餘/土月法)*(蔀日/蔀月)+土小餘/蔀月)</f>
        <v>24</v>
      </c>
      <c r="G1141"/>
      <c r="H1141"/>
      <c r="I1141"/>
      <c r="J1141"/>
      <c r="Q1141" s="11"/>
      <c r="R1141" s="11"/>
    </row>
    <row r="1142" spans="1:18" s="10" customFormat="1" ht="13.2" customHeight="1">
      <c r="A1142" s="690">
        <f t="shared" si="146"/>
        <v>121</v>
      </c>
      <c r="B1142" s="689" t="s">
        <v>157</v>
      </c>
      <c r="C1142" s="14"/>
      <c r="D1142" s="14"/>
      <c r="E1142" s="14"/>
      <c r="F1142" s="695">
        <f>((土月餘/土月法)*(蔀日/蔀月)+土小餘/蔀月-INT((土月餘/土月法)*(蔀日/蔀月)+土小餘/蔀月))*土日度法</f>
        <v>2162.9999999998895</v>
      </c>
      <c r="G1142"/>
      <c r="H1142"/>
      <c r="I1142"/>
      <c r="J1142"/>
      <c r="Q1142" s="11"/>
      <c r="R1142" s="11"/>
    </row>
    <row r="1143" spans="1:18" s="10" customFormat="1" ht="13.2" customHeight="1">
      <c r="A1143" s="690">
        <f t="shared" si="146"/>
        <v>122</v>
      </c>
      <c r="B1143" s="697" t="s">
        <v>158</v>
      </c>
      <c r="C1143" s="79"/>
      <c r="D1143" s="79"/>
      <c r="E1143" s="79"/>
      <c r="F1143" s="695">
        <f>土周率*日法</f>
        <v>36384</v>
      </c>
      <c r="G1143"/>
      <c r="H1143"/>
      <c r="I1143"/>
      <c r="J1143"/>
      <c r="Q1143" s="11"/>
      <c r="R1143" s="11"/>
    </row>
    <row r="1144" spans="1:18" s="10" customFormat="1" ht="13.2" customHeight="1">
      <c r="A1144" s="690">
        <f t="shared" si="146"/>
        <v>123</v>
      </c>
      <c r="B1144" s="697" t="s">
        <v>159</v>
      </c>
      <c r="C1144" s="79"/>
      <c r="D1144" s="79"/>
      <c r="E1144" s="79"/>
      <c r="F1144" s="695">
        <f>INT((土日率-土周率)*周天/土日度法)</f>
        <v>12</v>
      </c>
      <c r="G1144"/>
      <c r="H1144"/>
      <c r="I1144"/>
      <c r="J1144"/>
      <c r="Q1144" s="11"/>
      <c r="R1144" s="11"/>
    </row>
    <row r="1145" spans="1:18" s="10" customFormat="1" ht="13.2" customHeight="1" thickBot="1">
      <c r="A1145" s="690">
        <f t="shared" si="146"/>
        <v>124</v>
      </c>
      <c r="B1145" s="698" t="s">
        <v>160</v>
      </c>
      <c r="C1145" s="699"/>
      <c r="D1145" s="699"/>
      <c r="E1145" s="699"/>
      <c r="F1145" s="700">
        <f>MOD((土日率-土周率)*周天,土日度法)</f>
        <v>29451</v>
      </c>
      <c r="G1145"/>
      <c r="H1145"/>
      <c r="I1145"/>
      <c r="J1145"/>
      <c r="Q1145" s="11"/>
      <c r="R1145" s="11"/>
    </row>
    <row r="1146" spans="1:18" s="10" customFormat="1" ht="14.4" thickBot="1">
      <c r="A1146"/>
      <c r="B1146"/>
      <c r="C1146"/>
      <c r="D1146"/>
      <c r="E1146"/>
      <c r="F1146"/>
      <c r="G1146"/>
      <c r="H1146"/>
      <c r="I1146"/>
      <c r="J1146"/>
      <c r="Q1146" s="11"/>
      <c r="R1146" s="11"/>
    </row>
    <row r="1147" spans="1:18" s="10" customFormat="1" ht="20.399999999999999">
      <c r="A1147"/>
      <c r="B1147" s="667" t="s">
        <v>161</v>
      </c>
      <c r="C1147" s="668"/>
      <c r="D1147" s="668"/>
      <c r="E1147" s="668"/>
      <c r="F1147" s="669"/>
      <c r="G1147"/>
      <c r="H1147"/>
      <c r="I1147"/>
      <c r="J1147"/>
      <c r="Q1147" s="11"/>
      <c r="R1147" s="11"/>
    </row>
    <row r="1148" spans="1:18" s="10" customFormat="1" ht="13.8">
      <c r="A1148" s="688">
        <f>A1145+1</f>
        <v>125</v>
      </c>
      <c r="B1148" s="673" t="s">
        <v>162</v>
      </c>
      <c r="C1148" s="672"/>
      <c r="D1148" s="672"/>
      <c r="E1148" s="672"/>
      <c r="F1148" s="674">
        <v>5830</v>
      </c>
      <c r="G1148"/>
      <c r="H1148"/>
      <c r="I1148"/>
      <c r="J1148"/>
      <c r="Q1148" s="11"/>
      <c r="R1148" s="11"/>
    </row>
    <row r="1149" spans="1:18" s="10" customFormat="1" ht="13.8">
      <c r="A1149" s="690">
        <f t="shared" ref="A1149:A1160" si="147">A1148+1</f>
        <v>126</v>
      </c>
      <c r="B1149" s="673" t="s">
        <v>163</v>
      </c>
      <c r="C1149" s="672"/>
      <c r="D1149" s="672"/>
      <c r="E1149" s="672"/>
      <c r="F1149" s="674">
        <v>4661</v>
      </c>
      <c r="G1149"/>
      <c r="H1149"/>
      <c r="I1149"/>
      <c r="J1149"/>
      <c r="Q1149" s="11"/>
      <c r="R1149" s="11"/>
    </row>
    <row r="1150" spans="1:18" s="10" customFormat="1" ht="13.8">
      <c r="A1150" s="690">
        <f t="shared" si="147"/>
        <v>127</v>
      </c>
      <c r="B1150" s="694" t="s">
        <v>164</v>
      </c>
      <c r="C1150" s="14"/>
      <c r="D1150" s="14"/>
      <c r="E1150" s="14"/>
      <c r="F1150" s="695">
        <f>INT(章月*金日率/金月法)</f>
        <v>9</v>
      </c>
      <c r="G1150"/>
      <c r="H1150"/>
      <c r="I1150"/>
      <c r="J1150"/>
      <c r="Q1150" s="11"/>
      <c r="R1150" s="11"/>
    </row>
    <row r="1151" spans="1:18" s="10" customFormat="1" ht="13.8">
      <c r="A1151" s="690">
        <f t="shared" si="147"/>
        <v>128</v>
      </c>
      <c r="B1151" s="689" t="s">
        <v>165</v>
      </c>
      <c r="C1151" s="14"/>
      <c r="D1151" s="14"/>
      <c r="E1151" s="14"/>
      <c r="F1151" s="695">
        <f>MOD(章月*金日率,金月法)</f>
        <v>98405</v>
      </c>
      <c r="G1151"/>
      <c r="H1151"/>
      <c r="I1151"/>
      <c r="J1151"/>
      <c r="Q1151" s="11"/>
      <c r="R1151" s="11"/>
    </row>
    <row r="1152" spans="1:18" s="10" customFormat="1" ht="13.8">
      <c r="A1152" s="690">
        <f t="shared" si="147"/>
        <v>129</v>
      </c>
      <c r="B1152" s="689" t="s">
        <v>907</v>
      </c>
      <c r="C1152" s="14"/>
      <c r="D1152" s="14"/>
      <c r="E1152" s="14"/>
      <c r="F1152" s="695">
        <f>章法*金周率</f>
        <v>110770</v>
      </c>
      <c r="G1152"/>
      <c r="H1152"/>
      <c r="I1152"/>
      <c r="J1152"/>
      <c r="Q1152" s="11"/>
      <c r="R1152" s="11"/>
    </row>
    <row r="1153" spans="1:18" s="10" customFormat="1" ht="13.8">
      <c r="A1153" s="690">
        <f t="shared" si="147"/>
        <v>130</v>
      </c>
      <c r="B1153" s="689" t="s">
        <v>166</v>
      </c>
      <c r="C1153" s="14"/>
      <c r="D1153" s="14"/>
      <c r="E1153" s="14"/>
      <c r="F1153" s="695">
        <f>INT(MOD(金合積月*蔀日/蔀月,60))</f>
        <v>25</v>
      </c>
      <c r="G1153"/>
      <c r="H1153"/>
      <c r="I1153"/>
      <c r="J1153"/>
      <c r="Q1153" s="11"/>
      <c r="R1153" s="11"/>
    </row>
    <row r="1154" spans="1:18" s="10" customFormat="1" ht="13.8">
      <c r="A1154" s="690">
        <f t="shared" si="147"/>
        <v>131</v>
      </c>
      <c r="B1154" s="689" t="s">
        <v>167</v>
      </c>
      <c r="C1154" s="14"/>
      <c r="D1154" s="14"/>
      <c r="E1154" s="14"/>
      <c r="F1154" s="695">
        <f>MOD(金合積月*蔀日,蔀月)</f>
        <v>731</v>
      </c>
      <c r="G1154"/>
      <c r="H1154"/>
      <c r="I1154"/>
      <c r="J1154"/>
      <c r="Q1154" s="11"/>
      <c r="R1154" s="11"/>
    </row>
    <row r="1155" spans="1:18" s="10" customFormat="1" ht="13.8">
      <c r="A1155" s="690">
        <f t="shared" si="147"/>
        <v>132</v>
      </c>
      <c r="B1155" s="689" t="s">
        <v>168</v>
      </c>
      <c r="C1155" s="14"/>
      <c r="D1155" s="14"/>
      <c r="E1155" s="14"/>
      <c r="F1155" s="695">
        <f>蔀月-金小餘</f>
        <v>209</v>
      </c>
      <c r="G1155"/>
      <c r="H1155"/>
      <c r="I1155"/>
      <c r="J1155"/>
      <c r="Q1155" s="11"/>
      <c r="R1155" s="11"/>
    </row>
    <row r="1156" spans="1:18" s="10" customFormat="1" ht="13.8">
      <c r="A1156" s="690">
        <f t="shared" si="147"/>
        <v>133</v>
      </c>
      <c r="B1156" s="689" t="s">
        <v>169</v>
      </c>
      <c r="C1156" s="79"/>
      <c r="D1156" s="79"/>
      <c r="E1156" s="79"/>
      <c r="F1156" s="695">
        <f>INT((金月餘/金月法)*(蔀日/蔀月)+金小餘/蔀月)</f>
        <v>27</v>
      </c>
      <c r="G1156"/>
      <c r="H1156"/>
      <c r="I1156"/>
      <c r="J1156"/>
      <c r="Q1156" s="11"/>
      <c r="R1156" s="11"/>
    </row>
    <row r="1157" spans="1:18" s="10" customFormat="1" ht="13.8">
      <c r="A1157" s="690">
        <f t="shared" si="147"/>
        <v>134</v>
      </c>
      <c r="B1157" s="689" t="s">
        <v>170</v>
      </c>
      <c r="C1157" s="14"/>
      <c r="D1157" s="14"/>
      <c r="E1157" s="14"/>
      <c r="F1157" s="695">
        <f>((金月餘/金月法)*(蔀日/蔀月)+金小餘/蔀月-INT((金月餘/金月法)*(蔀日/蔀月)+金小餘/蔀月))*金日度法</f>
        <v>280.99999999996328</v>
      </c>
      <c r="G1157"/>
      <c r="H1157"/>
      <c r="I1157"/>
      <c r="J1157"/>
      <c r="Q1157" s="11"/>
      <c r="R1157" s="11"/>
    </row>
    <row r="1158" spans="1:18" s="10" customFormat="1" ht="13.8">
      <c r="A1158" s="690">
        <f t="shared" si="147"/>
        <v>135</v>
      </c>
      <c r="B1158" s="697" t="s">
        <v>171</v>
      </c>
      <c r="C1158" s="79"/>
      <c r="D1158" s="79"/>
      <c r="E1158" s="79"/>
      <c r="F1158" s="695">
        <f>金周率*日法</f>
        <v>23320</v>
      </c>
      <c r="G1158"/>
      <c r="H1158"/>
      <c r="I1158"/>
      <c r="J1158"/>
      <c r="Q1158" s="11"/>
      <c r="R1158" s="11"/>
    </row>
    <row r="1159" spans="1:18" s="10" customFormat="1" ht="13.8">
      <c r="A1159" s="690">
        <f t="shared" si="147"/>
        <v>136</v>
      </c>
      <c r="B1159" s="697" t="s">
        <v>172</v>
      </c>
      <c r="C1159" s="79"/>
      <c r="D1159" s="79"/>
      <c r="E1159" s="79"/>
      <c r="F1159" s="695">
        <v>292</v>
      </c>
      <c r="G1159"/>
      <c r="H1159"/>
      <c r="I1159"/>
      <c r="J1159"/>
      <c r="Q1159" s="11"/>
      <c r="R1159" s="11"/>
    </row>
    <row r="1160" spans="1:18" s="10" customFormat="1" ht="14.4" thickBot="1">
      <c r="A1160" s="690">
        <f t="shared" si="147"/>
        <v>137</v>
      </c>
      <c r="B1160" s="698" t="s">
        <v>173</v>
      </c>
      <c r="C1160" s="699"/>
      <c r="D1160" s="699"/>
      <c r="E1160" s="699"/>
      <c r="F1160" s="700">
        <v>281</v>
      </c>
      <c r="G1160"/>
      <c r="H1160"/>
      <c r="I1160"/>
      <c r="J1160"/>
      <c r="Q1160" s="11"/>
      <c r="R1160" s="11"/>
    </row>
    <row r="1161" spans="1:18" s="10" customFormat="1" ht="14.4" thickBot="1">
      <c r="A1161"/>
      <c r="B1161"/>
      <c r="C1161"/>
      <c r="D1161"/>
      <c r="E1161"/>
      <c r="F1161"/>
      <c r="G1161"/>
      <c r="H1161"/>
      <c r="I1161"/>
      <c r="J1161"/>
      <c r="Q1161" s="11"/>
      <c r="R1161" s="11"/>
    </row>
    <row r="1162" spans="1:18" s="10" customFormat="1" ht="20.399999999999999">
      <c r="A1162"/>
      <c r="B1162" s="667" t="s">
        <v>174</v>
      </c>
      <c r="C1162" s="668"/>
      <c r="D1162" s="668"/>
      <c r="E1162" s="668"/>
      <c r="F1162" s="669"/>
      <c r="G1162"/>
      <c r="H1162"/>
      <c r="I1162"/>
      <c r="J1162"/>
      <c r="Q1162" s="11"/>
      <c r="R1162" s="11"/>
    </row>
    <row r="1163" spans="1:18" s="10" customFormat="1" ht="13.8">
      <c r="A1163" s="688">
        <f>A1160+1</f>
        <v>138</v>
      </c>
      <c r="B1163" s="673" t="s">
        <v>175</v>
      </c>
      <c r="C1163" s="672"/>
      <c r="D1163" s="672"/>
      <c r="E1163" s="672"/>
      <c r="F1163" s="674">
        <v>11908</v>
      </c>
      <c r="G1163"/>
      <c r="H1163"/>
      <c r="I1163"/>
      <c r="J1163"/>
      <c r="Q1163" s="11"/>
      <c r="R1163" s="11"/>
    </row>
    <row r="1164" spans="1:18" s="10" customFormat="1" ht="13.8">
      <c r="A1164" s="690">
        <f t="shared" ref="A1164:A1175" si="148">A1163+1</f>
        <v>139</v>
      </c>
      <c r="B1164" s="673" t="s">
        <v>176</v>
      </c>
      <c r="C1164" s="672"/>
      <c r="D1164" s="672"/>
      <c r="E1164" s="672"/>
      <c r="F1164" s="674">
        <v>1889</v>
      </c>
      <c r="G1164"/>
      <c r="H1164"/>
      <c r="I1164"/>
      <c r="J1164"/>
      <c r="Q1164" s="11"/>
      <c r="R1164" s="11"/>
    </row>
    <row r="1165" spans="1:18" s="10" customFormat="1" ht="13.8">
      <c r="A1165" s="690">
        <f t="shared" si="148"/>
        <v>140</v>
      </c>
      <c r="B1165" s="694" t="s">
        <v>177</v>
      </c>
      <c r="C1165" s="14"/>
      <c r="D1165" s="14"/>
      <c r="E1165" s="14"/>
      <c r="F1165" s="695">
        <f>INT(章月*水日率/水月法)</f>
        <v>1</v>
      </c>
      <c r="G1165"/>
      <c r="H1165"/>
      <c r="I1165"/>
      <c r="J1165"/>
      <c r="Q1165" s="11"/>
      <c r="R1165" s="11"/>
    </row>
    <row r="1166" spans="1:18" s="10" customFormat="1" ht="13.8">
      <c r="A1166" s="690">
        <f t="shared" si="148"/>
        <v>141</v>
      </c>
      <c r="B1166" s="689" t="s">
        <v>908</v>
      </c>
      <c r="C1166" s="14"/>
      <c r="D1166" s="14"/>
      <c r="E1166" s="14"/>
      <c r="F1166" s="695">
        <f>MOD(章月*水日率,水月法)</f>
        <v>217663</v>
      </c>
      <c r="G1166"/>
      <c r="H1166"/>
      <c r="I1166"/>
      <c r="J1166"/>
      <c r="Q1166" s="11"/>
      <c r="R1166" s="11"/>
    </row>
    <row r="1167" spans="1:18" s="10" customFormat="1" ht="13.8">
      <c r="A1167" s="690">
        <f t="shared" si="148"/>
        <v>142</v>
      </c>
      <c r="B1167" s="689" t="s">
        <v>178</v>
      </c>
      <c r="C1167" s="14"/>
      <c r="D1167" s="14"/>
      <c r="E1167" s="14"/>
      <c r="F1167" s="695">
        <f>章法*水周率</f>
        <v>226252</v>
      </c>
      <c r="G1167"/>
      <c r="H1167"/>
      <c r="I1167"/>
      <c r="J1167"/>
      <c r="Q1167" s="11"/>
      <c r="R1167" s="11"/>
    </row>
    <row r="1168" spans="1:18" s="10" customFormat="1" ht="13.8">
      <c r="A1168" s="690">
        <f t="shared" si="148"/>
        <v>143</v>
      </c>
      <c r="B1168" s="689" t="s">
        <v>179</v>
      </c>
      <c r="C1168" s="14"/>
      <c r="D1168" s="14"/>
      <c r="E1168" s="14"/>
      <c r="F1168" s="695">
        <f>INT(MOD(水合積月*蔀日/蔀月,60))</f>
        <v>29</v>
      </c>
      <c r="G1168"/>
      <c r="H1168"/>
      <c r="I1168"/>
      <c r="J1168"/>
      <c r="Q1168" s="11"/>
      <c r="R1168" s="11"/>
    </row>
    <row r="1169" spans="1:18" s="10" customFormat="1" ht="13.8">
      <c r="A1169" s="690">
        <f t="shared" si="148"/>
        <v>144</v>
      </c>
      <c r="B1169" s="689" t="s">
        <v>180</v>
      </c>
      <c r="C1169" s="14"/>
      <c r="D1169" s="14"/>
      <c r="E1169" s="14"/>
      <c r="F1169" s="695">
        <f>MOD(水合積月*蔀日,蔀月)</f>
        <v>499</v>
      </c>
      <c r="G1169"/>
      <c r="H1169"/>
      <c r="I1169"/>
      <c r="J1169"/>
      <c r="Q1169" s="11"/>
      <c r="R1169" s="11"/>
    </row>
    <row r="1170" spans="1:18" s="10" customFormat="1" ht="13.8">
      <c r="A1170" s="690">
        <f t="shared" si="148"/>
        <v>145</v>
      </c>
      <c r="B1170" s="689" t="s">
        <v>909</v>
      </c>
      <c r="C1170" s="14"/>
      <c r="D1170" s="14"/>
      <c r="E1170" s="14"/>
      <c r="F1170" s="695">
        <f>蔀月-水小餘</f>
        <v>441</v>
      </c>
      <c r="G1170"/>
      <c r="H1170"/>
      <c r="I1170"/>
      <c r="J1170"/>
      <c r="Q1170" s="11"/>
      <c r="R1170" s="11"/>
    </row>
    <row r="1171" spans="1:18" s="10" customFormat="1" ht="13.8">
      <c r="A1171" s="690">
        <f t="shared" si="148"/>
        <v>146</v>
      </c>
      <c r="B1171" s="689" t="s">
        <v>910</v>
      </c>
      <c r="C1171" s="79"/>
      <c r="D1171" s="79"/>
      <c r="E1171" s="79"/>
      <c r="F1171" s="695">
        <f>INT((水月餘/水月法)*(蔀日/蔀月)+水小餘/蔀月)</f>
        <v>28</v>
      </c>
      <c r="G1171"/>
      <c r="H1171"/>
      <c r="I1171"/>
      <c r="J1171"/>
      <c r="Q1171" s="11"/>
      <c r="R1171" s="11"/>
    </row>
    <row r="1172" spans="1:18" s="10" customFormat="1" ht="13.8">
      <c r="A1172" s="690">
        <f t="shared" si="148"/>
        <v>147</v>
      </c>
      <c r="B1172" s="689" t="s">
        <v>181</v>
      </c>
      <c r="C1172" s="14"/>
      <c r="D1172" s="14"/>
      <c r="E1172" s="14"/>
      <c r="F1172" s="695">
        <f>((水月餘/水月法)*(蔀日/蔀月)+水小餘/蔀月-INT((水月餘/水月法)*(蔀日/蔀月)+水小餘/蔀月))*水日度法</f>
        <v>44804.999999999949</v>
      </c>
      <c r="G1172"/>
      <c r="H1172"/>
      <c r="I1172"/>
      <c r="J1172"/>
      <c r="Q1172" s="11"/>
      <c r="R1172" s="11"/>
    </row>
    <row r="1173" spans="1:18" s="10" customFormat="1" ht="13.8">
      <c r="A1173" s="690">
        <f t="shared" si="148"/>
        <v>148</v>
      </c>
      <c r="B1173" s="697" t="s">
        <v>911</v>
      </c>
      <c r="C1173" s="79"/>
      <c r="D1173" s="79"/>
      <c r="E1173" s="79"/>
      <c r="F1173" s="695">
        <f>水周率*日法</f>
        <v>47632</v>
      </c>
      <c r="G1173">
        <f>水日度法/4</f>
        <v>11908</v>
      </c>
      <c r="H1173"/>
      <c r="I1173"/>
      <c r="J1173"/>
      <c r="Q1173" s="11"/>
      <c r="R1173" s="11"/>
    </row>
    <row r="1174" spans="1:18" s="10" customFormat="1" ht="13.8">
      <c r="A1174" s="690">
        <f t="shared" si="148"/>
        <v>149</v>
      </c>
      <c r="B1174" s="697" t="s">
        <v>182</v>
      </c>
      <c r="C1174" s="79"/>
      <c r="D1174" s="79"/>
      <c r="E1174" s="79"/>
      <c r="F1174" s="695">
        <v>57</v>
      </c>
      <c r="G1174"/>
      <c r="H1174"/>
      <c r="I1174"/>
      <c r="J1174"/>
      <c r="Q1174" s="11"/>
      <c r="R1174" s="11"/>
    </row>
    <row r="1175" spans="1:18" s="10" customFormat="1" ht="14.4" thickBot="1">
      <c r="A1175" s="690">
        <f t="shared" si="148"/>
        <v>150</v>
      </c>
      <c r="B1175" s="698" t="s">
        <v>183</v>
      </c>
      <c r="C1175" s="699"/>
      <c r="D1175" s="699"/>
      <c r="E1175" s="699"/>
      <c r="F1175" s="700">
        <v>44805</v>
      </c>
      <c r="G1175"/>
      <c r="H1175"/>
      <c r="I1175"/>
      <c r="J1175"/>
      <c r="Q1175" s="11"/>
      <c r="R1175" s="11"/>
    </row>
    <row r="1176" spans="1:18" s="10" customFormat="1" ht="13.8">
      <c r="A1176"/>
      <c r="Q1176" s="11"/>
      <c r="R1176" s="11"/>
    </row>
    <row r="1177" spans="1:18" s="451" customFormat="1">
      <c r="A1177" s="449" t="s">
        <v>913</v>
      </c>
      <c r="B1177" s="701" t="s">
        <v>914</v>
      </c>
      <c r="I1177" s="897"/>
      <c r="J1177" s="897"/>
      <c r="K1177" s="897"/>
      <c r="L1177" s="897"/>
      <c r="M1177" s="897"/>
      <c r="N1177" s="897"/>
      <c r="O1177" s="897"/>
      <c r="P1177" s="897"/>
      <c r="Q1177" s="897"/>
      <c r="R1177" s="897"/>
    </row>
    <row r="1178" spans="1:18" s="10" customFormat="1" ht="15" customHeight="1">
      <c r="A1178" s="688">
        <f>A1175+1</f>
        <v>151</v>
      </c>
      <c r="B1178" t="s">
        <v>984</v>
      </c>
      <c r="C1178"/>
      <c r="D1178"/>
      <c r="E1178"/>
      <c r="F1178"/>
      <c r="G1178"/>
      <c r="I1178">
        <f>Years.Since.High.Origin+IF(D1182="去上元年數",0,1)</f>
        <v>9413</v>
      </c>
      <c r="J1178" s="356"/>
      <c r="K1178" s="702"/>
      <c r="L1178" s="75"/>
      <c r="M1178" s="702"/>
      <c r="N1178" s="75"/>
      <c r="O1178" s="702"/>
      <c r="P1178" s="75"/>
      <c r="Q1178" s="702"/>
      <c r="R1178" s="75"/>
    </row>
    <row r="1179" spans="1:18" s="10" customFormat="1" ht="12.6" customHeight="1">
      <c r="A1179" s="688"/>
      <c r="B1179"/>
      <c r="C1179"/>
      <c r="D1179"/>
      <c r="E1179"/>
      <c r="F1179"/>
      <c r="G1179"/>
      <c r="I1179"/>
      <c r="J1179" s="356"/>
      <c r="K1179" s="702"/>
      <c r="L1179" s="75"/>
      <c r="M1179" s="702"/>
      <c r="N1179" s="75"/>
      <c r="O1179" s="702"/>
      <c r="P1179" s="75"/>
      <c r="Q1179" s="702"/>
      <c r="R1179" s="75"/>
    </row>
    <row r="1180" spans="1:18" s="10" customFormat="1" ht="15.6" customHeight="1">
      <c r="A1180" s="688"/>
      <c r="B1180" s="871" t="s">
        <v>985</v>
      </c>
      <c r="C1180" s="871"/>
      <c r="D1180" s="871"/>
      <c r="E1180" s="871"/>
      <c r="F1180" s="871"/>
      <c r="G1180" s="871"/>
      <c r="H1180" s="871"/>
      <c r="I1180" s="871"/>
      <c r="J1180" s="356"/>
      <c r="K1180" s="702"/>
      <c r="L1180" s="75"/>
      <c r="M1180" s="702"/>
      <c r="N1180" s="75"/>
      <c r="O1180" s="702"/>
      <c r="P1180" s="75"/>
      <c r="Q1180" s="702"/>
      <c r="R1180" s="75"/>
    </row>
    <row r="1181" spans="1:18" s="10" customFormat="1" ht="15.6" customHeight="1" thickBot="1">
      <c r="A1181" s="688"/>
      <c r="B1181" s="707"/>
      <c r="C1181" s="707"/>
      <c r="D1181" s="707"/>
      <c r="E1181" s="707"/>
      <c r="F1181" s="707"/>
      <c r="G1181" s="707"/>
      <c r="H1181" s="707"/>
      <c r="I1181" s="707"/>
      <c r="J1181" s="356"/>
      <c r="K1181" s="702"/>
      <c r="L1181" s="75"/>
      <c r="M1181" s="702"/>
      <c r="N1181" s="75"/>
      <c r="O1181" s="702"/>
      <c r="P1181" s="75"/>
      <c r="Q1181" s="702"/>
      <c r="R1181" s="75"/>
    </row>
    <row r="1182" spans="1:18" s="10" customFormat="1" ht="15.6" customHeight="1" thickBot="1">
      <c r="A1182" s="688"/>
      <c r="B1182" s="707"/>
      <c r="C1182" s="532"/>
      <c r="D1182" s="902" t="s">
        <v>986</v>
      </c>
      <c r="E1182" s="903"/>
      <c r="F1182" s="707" t="str">
        <f>IF(D1182="去上元年數","(cardinal)","(ordinal)")</f>
        <v>(ordinal)</v>
      </c>
      <c r="G1182" s="707"/>
      <c r="H1182" s="707"/>
      <c r="I1182" s="707"/>
      <c r="J1182" s="356"/>
      <c r="K1182" s="702"/>
      <c r="L1182" s="75"/>
      <c r="M1182" s="702"/>
      <c r="N1182" s="75"/>
      <c r="O1182" s="702"/>
      <c r="P1182" s="75"/>
      <c r="Q1182" s="702"/>
      <c r="R1182" s="75"/>
    </row>
    <row r="1183" spans="1:18" s="10" customFormat="1" ht="15.6" customHeight="1">
      <c r="A1183" s="688"/>
      <c r="B1183" s="707"/>
      <c r="C1183" s="707"/>
      <c r="D1183" s="707"/>
      <c r="E1183" s="707"/>
      <c r="F1183" s="707"/>
      <c r="G1183" s="707"/>
      <c r="H1183" s="707"/>
      <c r="I1183" s="707"/>
      <c r="J1183" s="356"/>
      <c r="K1183" s="702"/>
      <c r="L1183" s="75"/>
      <c r="M1183" s="702"/>
      <c r="N1183" s="75"/>
      <c r="O1183" s="702"/>
      <c r="P1183" s="75"/>
      <c r="Q1183" s="702"/>
      <c r="R1183" s="75"/>
    </row>
    <row r="1184" spans="1:18" s="10" customFormat="1" ht="15.6" customHeight="1">
      <c r="A1184" s="688"/>
      <c r="B1184" s="399" t="s">
        <v>1044</v>
      </c>
      <c r="C1184" s="834"/>
      <c r="D1184" s="834"/>
      <c r="E1184" s="834"/>
      <c r="F1184" s="834"/>
      <c r="G1184" s="834"/>
      <c r="H1184" s="834"/>
      <c r="I1184" s="834"/>
      <c r="J1184" s="356"/>
      <c r="K1184" s="702"/>
      <c r="L1184" s="75"/>
      <c r="M1184" s="702"/>
      <c r="N1184" s="75"/>
      <c r="O1184" s="702"/>
      <c r="P1184" s="75"/>
      <c r="Q1184" s="702"/>
      <c r="R1184" s="75"/>
    </row>
    <row r="1185" spans="1:19" s="10" customFormat="1" ht="12.6" customHeight="1">
      <c r="A1185"/>
      <c r="B1185" s="921"/>
      <c r="C1185" s="921"/>
      <c r="D1185" s="921"/>
      <c r="E1185" s="921"/>
      <c r="F1185" s="921"/>
      <c r="G1185" s="921"/>
      <c r="I1185" s="703"/>
      <c r="J1185" s="703"/>
      <c r="K1185" s="703"/>
      <c r="L1185" s="703"/>
      <c r="M1185" s="703"/>
      <c r="N1185" s="703"/>
      <c r="O1185" s="703"/>
      <c r="P1185" s="703"/>
      <c r="Q1185" s="703"/>
      <c r="R1185" s="703"/>
    </row>
    <row r="1186" spans="1:19" s="10" customFormat="1" ht="12.6" customHeight="1">
      <c r="A1186"/>
      <c r="B1186" s="69"/>
      <c r="I1186" s="899" t="s">
        <v>184</v>
      </c>
      <c r="J1186" s="900"/>
      <c r="K1186" s="901" t="s">
        <v>185</v>
      </c>
      <c r="L1186" s="898"/>
      <c r="M1186" s="898" t="s">
        <v>186</v>
      </c>
      <c r="N1186" s="898"/>
      <c r="O1186" s="898" t="s">
        <v>187</v>
      </c>
      <c r="P1186" s="898"/>
      <c r="Q1186" s="898" t="s">
        <v>188</v>
      </c>
      <c r="R1186" s="898"/>
    </row>
    <row r="1187" spans="1:19" s="716" customFormat="1" ht="12.75" customHeight="1">
      <c r="A1187" s="715">
        <f>A1178+1</f>
        <v>152</v>
      </c>
      <c r="B1187" s="38" t="s">
        <v>915</v>
      </c>
      <c r="C1187" s="38"/>
      <c r="D1187" s="38"/>
      <c r="E1187" s="38"/>
      <c r="F1187" s="38"/>
      <c r="G1187" s="38"/>
      <c r="I1187" s="714">
        <f>INT($I$1178*木周率)</f>
        <v>40730051</v>
      </c>
      <c r="J1187" s="717"/>
      <c r="K1187" s="718">
        <f>INT($I$1178*火周率)</f>
        <v>8274027</v>
      </c>
      <c r="L1187" s="719"/>
      <c r="M1187" s="140">
        <f>INT($I$1178*土周率)</f>
        <v>85620648</v>
      </c>
      <c r="N1187" s="719"/>
      <c r="O1187" s="140">
        <f>INT($I$1178*金周率)</f>
        <v>54877790</v>
      </c>
      <c r="P1187" s="719"/>
      <c r="Q1187" s="140">
        <f>INT($I$1178*水周率)</f>
        <v>112090004</v>
      </c>
      <c r="R1187" s="719"/>
      <c r="S1187" s="720"/>
    </row>
    <row r="1188" spans="1:19" s="716" customFormat="1" ht="12.75" customHeight="1">
      <c r="A1188" s="715">
        <f>A1187+1</f>
        <v>153</v>
      </c>
      <c r="B1188" s="38" t="s">
        <v>916</v>
      </c>
      <c r="C1188" s="38"/>
      <c r="D1188" s="38"/>
      <c r="E1188" s="38"/>
      <c r="F1188" s="38"/>
      <c r="G1188" s="38"/>
      <c r="I1188" s="714">
        <f>INT(I1187/木日率)</f>
        <v>8620</v>
      </c>
      <c r="J1188" s="704">
        <f>MOD(I1187,木日率)</f>
        <v>551</v>
      </c>
      <c r="K1188" s="718">
        <f>INT(K1187/火日率)</f>
        <v>4410</v>
      </c>
      <c r="L1188" s="642">
        <f>MOD(K1187,火日率)</f>
        <v>867</v>
      </c>
      <c r="M1188" s="140">
        <f>INT(M1187/土日率)</f>
        <v>9094</v>
      </c>
      <c r="N1188" s="642">
        <f>MOD(M1187,土日率)</f>
        <v>638</v>
      </c>
      <c r="O1188" s="140">
        <f>INT(O1187/金日率)</f>
        <v>11773</v>
      </c>
      <c r="P1188" s="642">
        <f>MOD(O1187,金日率)</f>
        <v>3837</v>
      </c>
      <c r="Q1188" s="140">
        <f>INT(Q1187/水日率)</f>
        <v>59338</v>
      </c>
      <c r="R1188" s="642">
        <f>MOD(Q1187,水日率)</f>
        <v>522</v>
      </c>
      <c r="S1188" s="720"/>
    </row>
    <row r="1189" spans="1:19" s="716" customFormat="1" ht="12.75" customHeight="1">
      <c r="A1189" s="38"/>
      <c r="B1189" s="38"/>
      <c r="C1189" s="38"/>
      <c r="D1189" s="38"/>
      <c r="E1189" s="38"/>
      <c r="F1189" s="38"/>
      <c r="G1189" s="38"/>
      <c r="I1189" s="721"/>
      <c r="J1189" s="722"/>
      <c r="K1189" s="723"/>
      <c r="L1189" s="710"/>
      <c r="M1189" s="724"/>
      <c r="N1189" s="710"/>
      <c r="O1189" s="724"/>
      <c r="P1189" s="710"/>
      <c r="Q1189" s="724"/>
      <c r="R1189" s="725"/>
      <c r="S1189" s="720"/>
    </row>
    <row r="1190" spans="1:19" s="716" customFormat="1" ht="12.75" customHeight="1">
      <c r="A1190" s="726">
        <f>A1188+1</f>
        <v>154</v>
      </c>
      <c r="B1190" s="712" t="s">
        <v>919</v>
      </c>
      <c r="C1190" s="38"/>
      <c r="D1190" s="38"/>
      <c r="E1190" s="38"/>
      <c r="F1190" s="38"/>
      <c r="G1190" s="38"/>
      <c r="I1190" s="727">
        <f>INT(J1188/木周率)*-1</f>
        <v>0</v>
      </c>
      <c r="J1190" s="728"/>
      <c r="K1190" s="729">
        <f>INT(L1188/火周率)*-1</f>
        <v>0</v>
      </c>
      <c r="L1190" s="710"/>
      <c r="M1190" s="730">
        <f>INT(N1188/土周率)*-1</f>
        <v>0</v>
      </c>
      <c r="N1190" s="710"/>
      <c r="O1190" s="730">
        <f>INT(P1188/金周率)*-1</f>
        <v>0</v>
      </c>
      <c r="P1190" s="710"/>
      <c r="Q1190" s="730">
        <f>INT(R1188/水周率)*-1</f>
        <v>0</v>
      </c>
      <c r="R1190" s="725"/>
      <c r="S1190" s="720"/>
    </row>
    <row r="1191" spans="1:19" s="716" customFormat="1" ht="12.75" customHeight="1">
      <c r="A1191" s="726"/>
      <c r="B1191" s="712"/>
      <c r="C1191" s="38"/>
      <c r="D1191" s="38"/>
      <c r="E1191" s="38"/>
      <c r="F1191" s="38"/>
      <c r="G1191" s="38"/>
      <c r="I1191" s="727"/>
      <c r="J1191" s="728"/>
      <c r="K1191" s="729"/>
      <c r="L1191" s="710"/>
      <c r="M1191" s="730"/>
      <c r="N1191" s="710"/>
      <c r="O1191" s="730"/>
      <c r="P1191" s="710"/>
      <c r="Q1191" s="730"/>
      <c r="R1191" s="725"/>
      <c r="S1191" s="720"/>
    </row>
    <row r="1192" spans="1:19" s="10" customFormat="1" ht="12.75" customHeight="1">
      <c r="A1192" s="688"/>
      <c r="B1192" s="766"/>
      <c r="C1192" s="766"/>
      <c r="D1192" s="766"/>
      <c r="E1192" s="766"/>
      <c r="F1192" s="766"/>
      <c r="G1192" s="766"/>
      <c r="H1192" s="810" t="s">
        <v>1004</v>
      </c>
      <c r="I1192" s="782" t="str">
        <f>CHOOSE(current.year-J1192+1,"本年","前年","前前年","前前前年","前前前前年")</f>
        <v>本年</v>
      </c>
      <c r="J1192" s="821">
        <f>current.year+I1190</f>
        <v>132</v>
      </c>
      <c r="K1192" s="782" t="str">
        <f>CHOOSE(current.year-L1192+1,"本年","前年","前前年","前前前年","前前前前年")</f>
        <v>本年</v>
      </c>
      <c r="L1192" s="821">
        <f>current.year+K1190</f>
        <v>132</v>
      </c>
      <c r="M1192" s="782" t="str">
        <f>CHOOSE(current.year-N1192+1,"本年","前年","前前年","前前前年","前前前前年")</f>
        <v>本年</v>
      </c>
      <c r="N1192" s="821">
        <f>current.year+M1190</f>
        <v>132</v>
      </c>
      <c r="O1192" s="782" t="str">
        <f>CHOOSE(current.year-P1192+1,"本年","前年","前前年","前前前年","前前前前年")</f>
        <v>本年</v>
      </c>
      <c r="P1192" s="821">
        <f>current.year+O1190</f>
        <v>132</v>
      </c>
      <c r="Q1192" s="782" t="str">
        <f>CHOOSE(current.year-R1192+1,"本年","前年","前前年","前前前年","前前前前年")</f>
        <v>本年</v>
      </c>
      <c r="R1192" s="821">
        <f>current.year+Q1190</f>
        <v>132</v>
      </c>
    </row>
    <row r="1193" spans="1:19" s="716" customFormat="1" ht="12.75" customHeight="1">
      <c r="A1193" s="38"/>
      <c r="B1193" s="38"/>
      <c r="C1193" s="38"/>
      <c r="D1193" s="38"/>
      <c r="E1193" s="38"/>
      <c r="F1193" s="38"/>
      <c r="G1193" s="38"/>
      <c r="I1193" s="714"/>
      <c r="J1193" s="728"/>
      <c r="K1193" s="723"/>
      <c r="L1193" s="710"/>
      <c r="M1193" s="724"/>
      <c r="N1193" s="710"/>
      <c r="O1193" s="724"/>
      <c r="P1193" s="710"/>
      <c r="Q1193" s="724"/>
      <c r="R1193" s="725"/>
      <c r="S1193" s="720"/>
    </row>
    <row r="1194" spans="1:19" s="716" customFormat="1" ht="12.75" customHeight="1">
      <c r="A1194" s="726">
        <f>A1190+1</f>
        <v>155</v>
      </c>
      <c r="B1194" s="38" t="s">
        <v>918</v>
      </c>
      <c r="C1194" s="38"/>
      <c r="D1194" s="38"/>
      <c r="E1194" s="38"/>
      <c r="F1194" s="38"/>
      <c r="G1194" s="38"/>
      <c r="I1194" s="714" t="str">
        <f>""</f>
        <v/>
      </c>
      <c r="J1194" s="728"/>
      <c r="K1194" s="723"/>
      <c r="L1194" s="710"/>
      <c r="M1194" s="724"/>
      <c r="N1194" s="710"/>
      <c r="O1194" s="731" t="str">
        <f>IF(ODD(O1188)=O1188,"morning","evening")</f>
        <v>morning</v>
      </c>
      <c r="P1194" s="732"/>
      <c r="Q1194" s="731" t="str">
        <f>IF(ODD(Q1188)=Q1188,"morning","evening")</f>
        <v>evening</v>
      </c>
      <c r="R1194" s="97"/>
      <c r="S1194" s="720"/>
    </row>
    <row r="1195" spans="1:19" s="716" customFormat="1" ht="12.75" customHeight="1">
      <c r="A1195" s="38"/>
      <c r="B1195" s="38"/>
      <c r="C1195" s="38"/>
      <c r="D1195" s="38"/>
      <c r="E1195" s="38"/>
      <c r="F1195" s="38"/>
      <c r="G1195" s="38"/>
      <c r="I1195" s="714"/>
      <c r="J1195" s="728"/>
      <c r="K1195" s="723"/>
      <c r="L1195" s="710"/>
      <c r="M1195" s="724"/>
      <c r="N1195" s="710"/>
      <c r="O1195" s="724"/>
      <c r="P1195" s="710"/>
      <c r="Q1195" s="724"/>
      <c r="R1195" s="725"/>
      <c r="S1195" s="720"/>
    </row>
    <row r="1196" spans="1:19" s="716" customFormat="1" ht="12.75" customHeight="1">
      <c r="A1196" s="726">
        <f>A1194+1</f>
        <v>156</v>
      </c>
      <c r="B1196" s="38" t="s">
        <v>917</v>
      </c>
      <c r="C1196" s="38"/>
      <c r="D1196" s="38"/>
      <c r="E1196" s="38"/>
      <c r="F1196" s="38"/>
      <c r="G1196" s="38"/>
      <c r="I1196" s="714">
        <f>木周率-MOD(J1188,木周率)</f>
        <v>3776</v>
      </c>
      <c r="J1196" s="733"/>
      <c r="K1196" s="723">
        <f>火周率-MOD(L1188,火周率)</f>
        <v>12</v>
      </c>
      <c r="L1196" s="734"/>
      <c r="M1196" s="724">
        <f>土周率-MOD(N1188,土周率)</f>
        <v>8458</v>
      </c>
      <c r="N1196" s="734"/>
      <c r="O1196" s="724">
        <f>金周率-MOD(P1188,金周率)</f>
        <v>1993</v>
      </c>
      <c r="P1196" s="734"/>
      <c r="Q1196" s="724">
        <f>水周率-MOD(R1188,水周率)</f>
        <v>11386</v>
      </c>
      <c r="R1196" s="735"/>
      <c r="S1196" s="720"/>
    </row>
    <row r="1197" spans="1:19" s="716" customFormat="1" ht="12.6" customHeight="1">
      <c r="A1197" s="38"/>
      <c r="B1197" s="736"/>
      <c r="I1197" s="737"/>
      <c r="J1197" s="738"/>
      <c r="K1197" s="739"/>
      <c r="L1197" s="740"/>
      <c r="M1197" s="720"/>
      <c r="N1197" s="740"/>
      <c r="P1197" s="740"/>
      <c r="Q1197" s="11"/>
      <c r="R1197" s="97"/>
      <c r="S1197" s="720"/>
    </row>
    <row r="1198" spans="1:19" s="742" customFormat="1">
      <c r="A1198" s="741" t="s">
        <v>920</v>
      </c>
      <c r="B1198" s="701" t="s">
        <v>921</v>
      </c>
      <c r="I1198" s="869" t="s">
        <v>184</v>
      </c>
      <c r="J1198" s="870"/>
      <c r="K1198" s="880" t="s">
        <v>185</v>
      </c>
      <c r="L1198" s="895"/>
      <c r="M1198" s="895" t="s">
        <v>186</v>
      </c>
      <c r="N1198" s="895"/>
      <c r="O1198" s="895" t="s">
        <v>187</v>
      </c>
      <c r="P1198" s="895"/>
      <c r="Q1198" s="895" t="s">
        <v>188</v>
      </c>
      <c r="R1198" s="895"/>
      <c r="S1198" s="743"/>
    </row>
    <row r="1199" spans="1:19" s="710" customFormat="1" ht="12" customHeight="1">
      <c r="A1199" s="744">
        <f>A1196+1</f>
        <v>157</v>
      </c>
      <c r="B1199" s="35" t="s">
        <v>922</v>
      </c>
      <c r="C1199" s="35"/>
      <c r="D1199" s="35"/>
      <c r="E1199" s="35"/>
      <c r="F1199" s="35"/>
      <c r="G1199" s="35"/>
      <c r="H1199" s="713"/>
      <c r="I1199" s="721">
        <f>I1188*木合積月</f>
        <v>112060</v>
      </c>
      <c r="J1199" s="722"/>
      <c r="K1199" s="714">
        <f>K1188*火合積月</f>
        <v>114660</v>
      </c>
      <c r="L1199" s="704"/>
      <c r="M1199" s="714">
        <f>M1188*土合積月</f>
        <v>109128</v>
      </c>
      <c r="N1199" s="704"/>
      <c r="O1199" s="714">
        <f>O1188*金合積月</f>
        <v>105957</v>
      </c>
      <c r="P1199" s="704"/>
      <c r="Q1199" s="714">
        <f>Q1188*水合積月</f>
        <v>59338</v>
      </c>
      <c r="R1199" s="704"/>
      <c r="S1199" s="140"/>
    </row>
    <row r="1200" spans="1:19" s="710" customFormat="1" ht="12" customHeight="1">
      <c r="A1200" s="35"/>
      <c r="B1200" s="35" t="s">
        <v>923</v>
      </c>
      <c r="C1200" s="35"/>
      <c r="D1200" s="35"/>
      <c r="E1200" s="35"/>
      <c r="F1200" s="35"/>
      <c r="G1200" s="35"/>
      <c r="H1200" s="713"/>
      <c r="I1200" s="721">
        <f>I1188*木月餘</f>
        <v>358643720</v>
      </c>
      <c r="J1200" s="745"/>
      <c r="K1200" s="714">
        <f>K1188*火月餘</f>
        <v>29255940</v>
      </c>
      <c r="L1200" s="704"/>
      <c r="M1200" s="714">
        <f>M1188*土月餘</f>
        <v>1260764878</v>
      </c>
      <c r="N1200" s="704"/>
      <c r="O1200" s="714">
        <f>O1188*金月餘</f>
        <v>1158522065</v>
      </c>
      <c r="P1200" s="704"/>
      <c r="Q1200" s="714">
        <f>Q1188*水月餘</f>
        <v>12915687094</v>
      </c>
      <c r="R1200" s="704"/>
      <c r="S1200" s="140"/>
    </row>
    <row r="1201" spans="1:22" s="710" customFormat="1" ht="12" customHeight="1">
      <c r="A1201" s="35"/>
      <c r="B1201" s="35" t="s">
        <v>924</v>
      </c>
      <c r="C1201" s="35"/>
      <c r="D1201" s="35"/>
      <c r="E1201" s="35"/>
      <c r="F1201" s="35"/>
      <c r="G1201" s="35"/>
      <c r="H1201" s="713"/>
      <c r="I1201" s="714">
        <f>INT(I1200/木月法)</f>
        <v>4362</v>
      </c>
      <c r="J1201" s="704">
        <f>MOD(I1200,木月法)</f>
        <v>30614</v>
      </c>
      <c r="K1201" s="714">
        <f>INT(K1200/火月法)</f>
        <v>1751</v>
      </c>
      <c r="L1201" s="704">
        <f>MOD(K1200,火月法)</f>
        <v>12489</v>
      </c>
      <c r="M1201" s="714">
        <f>INT(M1200/土月法)</f>
        <v>7295</v>
      </c>
      <c r="N1201" s="704">
        <f>MOD(M1200,土月法)</f>
        <v>13798</v>
      </c>
      <c r="O1201" s="714">
        <f>INT(O1200/金月法)</f>
        <v>10458</v>
      </c>
      <c r="P1201" s="704">
        <f>MOD(O1200,金月法)</f>
        <v>89405</v>
      </c>
      <c r="Q1201" s="714">
        <f>INT(Q1200/水月法)</f>
        <v>57085</v>
      </c>
      <c r="R1201" s="704">
        <f>MOD(Q1200,水月法)</f>
        <v>91674</v>
      </c>
      <c r="S1201" s="140"/>
    </row>
    <row r="1202" spans="1:22" s="710" customFormat="1" ht="12" customHeight="1">
      <c r="A1202" s="35"/>
      <c r="B1202" s="35" t="s">
        <v>925</v>
      </c>
      <c r="C1202" s="35"/>
      <c r="D1202" s="35"/>
      <c r="E1202" s="35"/>
      <c r="F1202" s="35"/>
      <c r="G1202" s="35"/>
      <c r="H1202" s="713"/>
      <c r="I1202" s="714">
        <f>I1201+I1199</f>
        <v>116422</v>
      </c>
      <c r="J1202" s="704">
        <f>J1201</f>
        <v>30614</v>
      </c>
      <c r="K1202" s="714">
        <f>K1201+K1199</f>
        <v>116411</v>
      </c>
      <c r="L1202" s="704">
        <f>L1201</f>
        <v>12489</v>
      </c>
      <c r="M1202" s="714">
        <f>M1201+M1199</f>
        <v>116423</v>
      </c>
      <c r="N1202" s="704">
        <f>N1201</f>
        <v>13798</v>
      </c>
      <c r="O1202" s="714">
        <f>O1201+O1199</f>
        <v>116415</v>
      </c>
      <c r="P1202" s="704">
        <f>P1201</f>
        <v>89405</v>
      </c>
      <c r="Q1202" s="714">
        <f>Q1201+Q1199</f>
        <v>116423</v>
      </c>
      <c r="R1202" s="704">
        <f>R1201</f>
        <v>91674</v>
      </c>
      <c r="S1202" s="140"/>
    </row>
    <row r="1203" spans="1:22" s="716" customFormat="1" ht="12" customHeight="1">
      <c r="A1203" s="38"/>
      <c r="B1203" s="38"/>
      <c r="H1203" s="34"/>
      <c r="I1203" s="714"/>
      <c r="J1203" s="746"/>
      <c r="K1203" s="714"/>
      <c r="L1203" s="704"/>
      <c r="M1203" s="714"/>
      <c r="N1203" s="704"/>
      <c r="O1203" s="714"/>
      <c r="P1203" s="704"/>
      <c r="Q1203" s="714"/>
      <c r="R1203" s="704"/>
      <c r="S1203" s="747"/>
    </row>
    <row r="1204" spans="1:22" s="716" customFormat="1" ht="12" customHeight="1">
      <c r="A1204" s="726">
        <f>A1199+1</f>
        <v>158</v>
      </c>
      <c r="B1204" s="748" t="s">
        <v>926</v>
      </c>
      <c r="H1204" s="713"/>
      <c r="I1204" s="714">
        <f>INT(I1202/紀月)</f>
        <v>6</v>
      </c>
      <c r="J1204" s="704">
        <f>MOD(I1202,紀月)</f>
        <v>3622</v>
      </c>
      <c r="K1204" s="714">
        <f>INT(K1202/紀月)</f>
        <v>6</v>
      </c>
      <c r="L1204" s="704">
        <f>MOD(K1202,紀月)</f>
        <v>3611</v>
      </c>
      <c r="M1204" s="714">
        <f>INT(M1202/紀月)</f>
        <v>6</v>
      </c>
      <c r="N1204" s="704">
        <f>MOD(M1202,紀月)</f>
        <v>3623</v>
      </c>
      <c r="O1204" s="714">
        <f>INT(O1202/紀月)</f>
        <v>6</v>
      </c>
      <c r="P1204" s="704">
        <f>MOD(O1202,紀月)</f>
        <v>3615</v>
      </c>
      <c r="Q1204" s="714">
        <f>INT(Q1202/紀月)</f>
        <v>6</v>
      </c>
      <c r="R1204" s="704">
        <f>MOD(Q1202,紀月)</f>
        <v>3623</v>
      </c>
      <c r="S1204" s="747"/>
    </row>
    <row r="1205" spans="1:22" s="716" customFormat="1" ht="12" customHeight="1">
      <c r="A1205" s="38"/>
      <c r="B1205" s="712" t="s">
        <v>927</v>
      </c>
      <c r="H1205" s="38"/>
      <c r="I1205" s="714">
        <f>J1204*章閏</f>
        <v>25354</v>
      </c>
      <c r="J1205" s="746"/>
      <c r="K1205" s="714">
        <f>L1204*章閏</f>
        <v>25277</v>
      </c>
      <c r="L1205" s="746"/>
      <c r="M1205" s="714">
        <f>N1204*章閏</f>
        <v>25361</v>
      </c>
      <c r="N1205" s="746"/>
      <c r="O1205" s="714">
        <f>P1204*章閏</f>
        <v>25305</v>
      </c>
      <c r="P1205" s="746"/>
      <c r="Q1205" s="714">
        <f>R1204*章閏</f>
        <v>25361</v>
      </c>
      <c r="R1205" s="746"/>
      <c r="S1205" s="747"/>
      <c r="T1205" s="38"/>
    </row>
    <row r="1206" spans="1:22" s="716" customFormat="1" ht="12" customHeight="1">
      <c r="A1206" s="38"/>
      <c r="B1206" s="748" t="s">
        <v>928</v>
      </c>
      <c r="H1206" s="749"/>
      <c r="I1206" s="714">
        <f>INT(I1205/章月)</f>
        <v>107</v>
      </c>
      <c r="J1206" s="704">
        <f>MOD(I1205,章月)</f>
        <v>209</v>
      </c>
      <c r="K1206" s="714">
        <f>INT(K1205/章月)</f>
        <v>107</v>
      </c>
      <c r="L1206" s="704">
        <f>MOD(K1205,章月)</f>
        <v>132</v>
      </c>
      <c r="M1206" s="714">
        <f>INT(M1205/章月)</f>
        <v>107</v>
      </c>
      <c r="N1206" s="704">
        <f>MOD(M1205,章月)</f>
        <v>216</v>
      </c>
      <c r="O1206" s="714">
        <f>INT(O1205/章月)</f>
        <v>107</v>
      </c>
      <c r="P1206" s="704">
        <f>MOD(O1205,章月)</f>
        <v>160</v>
      </c>
      <c r="Q1206" s="714">
        <f>INT(Q1205/章月)</f>
        <v>107</v>
      </c>
      <c r="R1206" s="704">
        <f>MOD(Q1205,章月)</f>
        <v>216</v>
      </c>
      <c r="S1206" s="747"/>
    </row>
    <row r="1207" spans="1:22" s="716" customFormat="1" ht="12" customHeight="1">
      <c r="A1207" s="38"/>
      <c r="B1207" s="736"/>
      <c r="H1207" s="38"/>
      <c r="I1207" s="714"/>
      <c r="J1207" s="704"/>
      <c r="K1207" s="714"/>
      <c r="L1207" s="704"/>
      <c r="M1207" s="714"/>
      <c r="N1207" s="704"/>
      <c r="O1207" s="714"/>
      <c r="P1207" s="704"/>
      <c r="Q1207" s="714"/>
      <c r="R1207" s="704"/>
      <c r="S1207" s="747"/>
    </row>
    <row r="1208" spans="1:22" s="716" customFormat="1" ht="12" customHeight="1">
      <c r="A1208" s="726">
        <f>A1204+1</f>
        <v>159</v>
      </c>
      <c r="B1208" s="38" t="s">
        <v>929</v>
      </c>
      <c r="H1208" s="34"/>
      <c r="I1208" s="714">
        <f>J1204-I1206</f>
        <v>3515</v>
      </c>
      <c r="J1208" s="704"/>
      <c r="K1208" s="714">
        <f t="shared" ref="K1208" si="149">L1204-K1206</f>
        <v>3504</v>
      </c>
      <c r="L1208" s="704"/>
      <c r="M1208" s="714">
        <f t="shared" ref="M1208" si="150">N1204-M1206</f>
        <v>3516</v>
      </c>
      <c r="N1208" s="704"/>
      <c r="O1208" s="714">
        <f t="shared" ref="O1208" si="151">P1204-O1206</f>
        <v>3508</v>
      </c>
      <c r="P1208" s="704"/>
      <c r="Q1208" s="714">
        <f t="shared" ref="Q1208" si="152">R1204-Q1206</f>
        <v>3516</v>
      </c>
      <c r="R1208" s="704"/>
      <c r="S1208" s="896"/>
      <c r="T1208" s="896"/>
      <c r="U1208" s="896"/>
      <c r="V1208" s="896"/>
    </row>
    <row r="1209" spans="1:22" s="716" customFormat="1" ht="12" customHeight="1">
      <c r="A1209" s="38"/>
      <c r="B1209" s="38" t="s">
        <v>930</v>
      </c>
      <c r="H1209" s="38"/>
      <c r="I1209" s="714">
        <f>INT(I1208/12)</f>
        <v>292</v>
      </c>
      <c r="J1209" s="704">
        <f>MOD(I1208,12)</f>
        <v>11</v>
      </c>
      <c r="K1209" s="714">
        <f t="shared" ref="K1209" si="153">INT(K1208/12)</f>
        <v>292</v>
      </c>
      <c r="L1209" s="704">
        <f t="shared" ref="L1209" si="154">MOD(K1208,12)</f>
        <v>0</v>
      </c>
      <c r="M1209" s="714">
        <f t="shared" ref="M1209" si="155">INT(M1208/12)</f>
        <v>293</v>
      </c>
      <c r="N1209" s="704">
        <f t="shared" ref="N1209" si="156">MOD(M1208,12)</f>
        <v>0</v>
      </c>
      <c r="O1209" s="714">
        <f t="shared" ref="O1209" si="157">INT(O1208/12)</f>
        <v>292</v>
      </c>
      <c r="P1209" s="704">
        <f t="shared" ref="P1209" si="158">MOD(O1208,12)</f>
        <v>4</v>
      </c>
      <c r="Q1209" s="714">
        <f t="shared" ref="Q1209" si="159">INT(Q1208/12)</f>
        <v>293</v>
      </c>
      <c r="R1209" s="704">
        <f t="shared" ref="R1209" si="160">MOD(Q1208,12)</f>
        <v>0</v>
      </c>
      <c r="S1209" s="896"/>
      <c r="T1209" s="896"/>
      <c r="U1209" s="896"/>
      <c r="V1209" s="896"/>
    </row>
    <row r="1210" spans="1:22" s="716" customFormat="1" ht="12" customHeight="1">
      <c r="A1210" s="38"/>
      <c r="B1210" s="38" t="s">
        <v>931</v>
      </c>
      <c r="H1210" s="34"/>
      <c r="I1210" s="714">
        <f>I1190</f>
        <v>0</v>
      </c>
      <c r="J1210" s="704">
        <f>MOD(J1209+10,12)+1</f>
        <v>10</v>
      </c>
      <c r="K1210" s="714">
        <f>K1190</f>
        <v>0</v>
      </c>
      <c r="L1210" s="704">
        <f>MOD(L1209+10,12)+1</f>
        <v>11</v>
      </c>
      <c r="M1210" s="714">
        <f>M1190</f>
        <v>0</v>
      </c>
      <c r="N1210" s="704">
        <f>MOD(N1209+10,12)+1</f>
        <v>11</v>
      </c>
      <c r="O1210" s="714">
        <f>O1190</f>
        <v>0</v>
      </c>
      <c r="P1210" s="704">
        <f>MOD(P1209+10,12)+1</f>
        <v>3</v>
      </c>
      <c r="Q1210" s="714">
        <f>Q1190</f>
        <v>0</v>
      </c>
      <c r="R1210" s="704">
        <f>MOD(R1209+10,12)+1</f>
        <v>11</v>
      </c>
      <c r="S1210" s="896"/>
      <c r="T1210" s="896"/>
      <c r="U1210" s="896"/>
      <c r="V1210" s="896"/>
    </row>
    <row r="1211" spans="1:22" s="716" customFormat="1" ht="12" customHeight="1">
      <c r="A1211" s="38"/>
      <c r="B1211" s="81"/>
      <c r="H1211" s="38"/>
      <c r="I1211" s="750"/>
      <c r="J1211" s="746"/>
      <c r="K1211" s="714"/>
      <c r="L1211" s="704"/>
      <c r="M1211" s="714"/>
      <c r="N1211" s="704"/>
      <c r="O1211" s="714"/>
      <c r="P1211" s="704"/>
      <c r="Q1211" s="714"/>
      <c r="R1211" s="704"/>
      <c r="S1211" s="747"/>
    </row>
    <row r="1212" spans="1:22" s="716" customFormat="1" ht="12" customHeight="1">
      <c r="A1212" s="38"/>
      <c r="B1212" s="81" t="s">
        <v>974</v>
      </c>
      <c r="C1212" s="38"/>
      <c r="D1212" s="38"/>
      <c r="E1212" s="38"/>
      <c r="F1212" s="38"/>
      <c r="G1212" s="38"/>
      <c r="H1212" s="34"/>
      <c r="I1212" s="751" t="b">
        <f>AND(J1206&gt;223,J1206&lt;232)</f>
        <v>0</v>
      </c>
      <c r="J1212" s="704"/>
      <c r="K1212" s="751" t="b">
        <f>AND(L1206&gt;223,L1206&lt;232)</f>
        <v>0</v>
      </c>
      <c r="L1212" s="704"/>
      <c r="M1212" s="751" t="b">
        <f>AND(N1206&gt;223,N1206&lt;232)</f>
        <v>0</v>
      </c>
      <c r="N1212" s="704"/>
      <c r="O1212" s="751" t="b">
        <f>AND(P1206&gt;223,P1206&lt;232)</f>
        <v>0</v>
      </c>
      <c r="P1212" s="704"/>
      <c r="Q1212" s="751" t="b">
        <f>AND(R1206&gt;223,R1206&lt;232)</f>
        <v>0</v>
      </c>
      <c r="R1212" s="704"/>
      <c r="S1212" s="747"/>
      <c r="T1212" s="98"/>
      <c r="U1212" s="98"/>
      <c r="V1212" s="98"/>
    </row>
    <row r="1213" spans="1:22" s="716" customFormat="1" ht="12" customHeight="1">
      <c r="A1213" s="38"/>
      <c r="B1213" s="38"/>
      <c r="C1213" s="38"/>
      <c r="D1213" s="38"/>
      <c r="E1213" s="38"/>
      <c r="F1213" s="38"/>
      <c r="G1213" s="38"/>
      <c r="I1213" s="752" t="str">
        <f>IF(I1210=-2,"前前年",IF(I1210=-1,"前年","本年"))</f>
        <v>本年</v>
      </c>
      <c r="J1213" s="706" t="str">
        <f>CONCATENATE(IF(I1212=TRUE(),"閏",""),CHOOSE(J1210,"正","二","三","四","五","六","七","八","九","十","十一","十二"),"月")</f>
        <v>十月</v>
      </c>
      <c r="K1213" s="752" t="str">
        <f t="shared" ref="K1213" si="161">IF(K1210=-2,"前前年",IF(K1210=-1,"前年","本年"))</f>
        <v>本年</v>
      </c>
      <c r="L1213" s="706" t="str">
        <f t="shared" ref="L1213" si="162">CONCATENATE(IF(K1212=TRUE(),"閏",""),CHOOSE(L1210,"正","二","三","四","五","六","七","八","九","十","十一","十二"),"月")</f>
        <v>十一月</v>
      </c>
      <c r="M1213" s="752" t="str">
        <f t="shared" ref="M1213" si="163">IF(M1210=-2,"前前年",IF(M1210=-1,"前年","本年"))</f>
        <v>本年</v>
      </c>
      <c r="N1213" s="706" t="str">
        <f t="shared" ref="N1213" si="164">CONCATENATE(IF(M1212=TRUE(),"閏",""),CHOOSE(N1210,"正","二","三","四","五","六","七","八","九","十","十一","十二"),"月")</f>
        <v>十一月</v>
      </c>
      <c r="O1213" s="752" t="str">
        <f t="shared" ref="O1213" si="165">IF(O1210=-2,"前前年",IF(O1210=-1,"前年","本年"))</f>
        <v>本年</v>
      </c>
      <c r="P1213" s="706" t="str">
        <f t="shared" ref="P1213" si="166">CONCATENATE(IF(O1212=TRUE(),"閏",""),CHOOSE(P1210,"正","二","三","四","五","六","七","八","九","十","十一","十二"),"月")</f>
        <v>三月</v>
      </c>
      <c r="Q1213" s="752" t="str">
        <f t="shared" ref="Q1213" si="167">IF(Q1210=-2,"前前年",IF(Q1210=-1,"前年","本年"))</f>
        <v>本年</v>
      </c>
      <c r="R1213" s="706" t="str">
        <f t="shared" ref="R1213" si="168">CONCATENATE(IF(Q1212=TRUE(),"閏",""),CHOOSE(R1210,"正","二","三","四","五","六","七","八","九","十","十一","十二"),"月")</f>
        <v>十一月</v>
      </c>
      <c r="S1213" s="720"/>
    </row>
    <row r="1214" spans="1:22" s="716" customFormat="1" ht="12" customHeight="1">
      <c r="A1214" s="38"/>
      <c r="B1214" s="38" t="s">
        <v>975</v>
      </c>
      <c r="C1214" s="38"/>
      <c r="D1214" s="38"/>
      <c r="E1214" s="38"/>
      <c r="F1214" s="38"/>
      <c r="G1214" s="38"/>
      <c r="I1214" s="752"/>
      <c r="J1214" s="706"/>
      <c r="K1214" s="752"/>
      <c r="L1214" s="706"/>
      <c r="M1214" s="752"/>
      <c r="N1214" s="706"/>
      <c r="O1214" s="752"/>
      <c r="P1214" s="706"/>
      <c r="Q1214" s="752"/>
      <c r="R1214" s="706"/>
      <c r="S1214" s="720"/>
    </row>
    <row r="1215" spans="1:22" s="716" customFormat="1" ht="12" customHeight="1">
      <c r="A1215" s="38"/>
      <c r="B1215" s="753"/>
      <c r="I1215" s="714"/>
      <c r="J1215" s="704"/>
      <c r="K1215" s="714"/>
      <c r="L1215" s="704"/>
      <c r="M1215" s="714"/>
      <c r="N1215" s="704"/>
      <c r="O1215" s="714"/>
      <c r="P1215" s="704"/>
      <c r="Q1215" s="714"/>
      <c r="R1215" s="704"/>
      <c r="S1215" s="720"/>
    </row>
    <row r="1216" spans="1:22" s="742" customFormat="1" ht="13.95" customHeight="1">
      <c r="A1216" s="741" t="s">
        <v>932</v>
      </c>
      <c r="B1216" s="701" t="s">
        <v>933</v>
      </c>
      <c r="I1216" s="869" t="s">
        <v>184</v>
      </c>
      <c r="J1216" s="870"/>
      <c r="K1216" s="880" t="s">
        <v>185</v>
      </c>
      <c r="L1216" s="895"/>
      <c r="M1216" s="895" t="s">
        <v>186</v>
      </c>
      <c r="N1216" s="895"/>
      <c r="O1216" s="895" t="s">
        <v>187</v>
      </c>
      <c r="P1216" s="895"/>
      <c r="Q1216" s="895" t="s">
        <v>188</v>
      </c>
      <c r="R1216" s="895"/>
      <c r="S1216" s="743"/>
    </row>
    <row r="1217" spans="1:26" s="82" customFormat="1" ht="13.95" customHeight="1">
      <c r="A1217" s="711">
        <f>A1208+1</f>
        <v>160</v>
      </c>
      <c r="B1217" s="754" t="s">
        <v>934</v>
      </c>
      <c r="C1217" s="755"/>
      <c r="D1217" s="755"/>
      <c r="E1217" s="755"/>
      <c r="F1217" s="755"/>
      <c r="G1217" s="755"/>
      <c r="H1217" s="756"/>
      <c r="I1217" s="714">
        <f>J1204*蔀日</f>
        <v>100543098</v>
      </c>
      <c r="J1217" s="704"/>
      <c r="K1217" s="714">
        <f>L1204*蔀日</f>
        <v>100237749</v>
      </c>
      <c r="L1217" s="704"/>
      <c r="M1217" s="714">
        <f>N1204*蔀日</f>
        <v>100570857</v>
      </c>
      <c r="N1217" s="704"/>
      <c r="O1217" s="714">
        <f>P1204*蔀日</f>
        <v>100348785</v>
      </c>
      <c r="P1217" s="704"/>
      <c r="Q1217" s="714">
        <f>R1204*蔀日</f>
        <v>100570857</v>
      </c>
      <c r="R1217" s="704"/>
      <c r="S1217" s="709"/>
    </row>
    <row r="1218" spans="1:26" s="82" customFormat="1" ht="13.95" customHeight="1">
      <c r="A1218" s="38"/>
      <c r="B1218" s="754" t="s">
        <v>935</v>
      </c>
      <c r="C1218" s="755"/>
      <c r="D1218" s="755"/>
      <c r="E1218" s="755"/>
      <c r="F1218" s="755"/>
      <c r="G1218" s="755"/>
      <c r="H1218" s="38"/>
      <c r="I1218" s="714">
        <f>INT(I1217/蔀月)</f>
        <v>106960</v>
      </c>
      <c r="J1218" s="704">
        <f>MOD(I1217,蔀月)</f>
        <v>698</v>
      </c>
      <c r="K1218" s="714">
        <f>INT(K1217/蔀月)</f>
        <v>106635</v>
      </c>
      <c r="L1218" s="704">
        <f>MOD(K1217,蔀月)</f>
        <v>849</v>
      </c>
      <c r="M1218" s="714">
        <f>INT(M1217/蔀月)</f>
        <v>106990</v>
      </c>
      <c r="N1218" s="704">
        <f>MOD(M1217,蔀月)</f>
        <v>257</v>
      </c>
      <c r="O1218" s="714">
        <f>INT(O1217/蔀月)</f>
        <v>106754</v>
      </c>
      <c r="P1218" s="704">
        <f>MOD(O1217,蔀月)</f>
        <v>25</v>
      </c>
      <c r="Q1218" s="714">
        <f>INT(Q1217/蔀月)</f>
        <v>106990</v>
      </c>
      <c r="R1218" s="704">
        <f>MOD(Q1217,蔀月)</f>
        <v>257</v>
      </c>
      <c r="S1218" s="709"/>
    </row>
    <row r="1219" spans="1:26" s="82" customFormat="1" ht="13.95" customHeight="1">
      <c r="A1219" s="757"/>
      <c r="B1219" s="712"/>
      <c r="H1219" s="38"/>
      <c r="I1219" s="714"/>
      <c r="J1219" s="704"/>
      <c r="K1219" s="714"/>
      <c r="L1219" s="704"/>
      <c r="M1219" s="714"/>
      <c r="N1219" s="704"/>
      <c r="O1219" s="714"/>
      <c r="P1219" s="704"/>
      <c r="Q1219" s="714"/>
      <c r="R1219" s="704"/>
      <c r="S1219" s="709"/>
    </row>
    <row r="1220" spans="1:26" s="82" customFormat="1" ht="13.95" customHeight="1">
      <c r="A1220" s="757"/>
      <c r="B1220" s="758" t="s">
        <v>937</v>
      </c>
      <c r="H1220" s="756"/>
      <c r="I1220" s="714">
        <f>MOD(I1218,60)</f>
        <v>40</v>
      </c>
      <c r="J1220" s="704"/>
      <c r="K1220" s="714">
        <f>MOD(K1218,60)</f>
        <v>15</v>
      </c>
      <c r="L1220" s="704"/>
      <c r="M1220" s="714">
        <f>MOD(M1218,60)</f>
        <v>10</v>
      </c>
      <c r="N1220" s="704"/>
      <c r="O1220" s="714">
        <f>MOD(O1218,60)</f>
        <v>14</v>
      </c>
      <c r="P1220" s="704"/>
      <c r="Q1220" s="714">
        <f>MOD(Q1218,60)</f>
        <v>10</v>
      </c>
      <c r="R1220" s="704"/>
      <c r="S1220" s="709"/>
    </row>
    <row r="1221" spans="1:26" s="82" customFormat="1" ht="13.95" customHeight="1">
      <c r="A1221" s="38"/>
      <c r="B1221" s="712" t="s">
        <v>936</v>
      </c>
      <c r="C1221" s="38"/>
      <c r="D1221" s="38"/>
      <c r="E1221" s="38"/>
      <c r="F1221" s="38"/>
      <c r="G1221" s="38"/>
      <c r="I1221" s="751" t="str">
        <f>CONCATENATE(CHOOSE(MOD(J1221,10)+1,"癸","甲","乙","丙","丁","戊","己","庚","辛","壬"),(CHOOSE(MOD(J1221,12)+1,"亥","子","丑","寅","卯","辰","巳","午","未","申","酉","戌")))</f>
        <v>甲辰</v>
      </c>
      <c r="J1221" s="704">
        <f>MOD(I1220,60)+1</f>
        <v>41</v>
      </c>
      <c r="K1221" s="751" t="str">
        <f>CONCATENATE(CHOOSE(MOD(L1221,10)+1,"癸","甲","乙","丙","丁","戊","己","庚","辛","壬"),(CHOOSE(MOD(L1221,12)+1,"亥","子","丑","寅","卯","辰","巳","午","未","申","酉","戌")))</f>
        <v>己卯</v>
      </c>
      <c r="L1221" s="704">
        <f>MOD(K1220,60)+1</f>
        <v>16</v>
      </c>
      <c r="M1221" s="751" t="str">
        <f>CONCATENATE(CHOOSE(MOD(N1221,10)+1,"癸","甲","乙","丙","丁","戊","己","庚","辛","壬"),(CHOOSE(MOD(N1221,12)+1,"亥","子","丑","寅","卯","辰","巳","午","未","申","酉","戌")))</f>
        <v>甲戌</v>
      </c>
      <c r="N1221" s="704">
        <f>MOD(M1220,60)+1</f>
        <v>11</v>
      </c>
      <c r="O1221" s="751" t="str">
        <f>CONCATENATE(CHOOSE(MOD(P1221,10)+1,"癸","甲","乙","丙","丁","戊","己","庚","辛","壬"),(CHOOSE(MOD(P1221,12)+1,"亥","子","丑","寅","卯","辰","巳","午","未","申","酉","戌")))</f>
        <v>戊寅</v>
      </c>
      <c r="P1221" s="704">
        <f>MOD(O1220,60)+1</f>
        <v>15</v>
      </c>
      <c r="Q1221" s="751" t="str">
        <f>CONCATENATE(CHOOSE(MOD(R1221,10)+1,"癸","甲","乙","丙","丁","戊","己","庚","辛","壬"),(CHOOSE(MOD(R1221,12)+1,"亥","子","丑","寅","卯","辰","巳","午","未","申","酉","戌")))</f>
        <v>甲戌</v>
      </c>
      <c r="R1221" s="704">
        <f>MOD(Q1220,60)+1</f>
        <v>11</v>
      </c>
      <c r="S1221" s="709"/>
    </row>
    <row r="1222" spans="1:26" s="759" customFormat="1" ht="13.95" customHeight="1">
      <c r="A1222" s="757"/>
      <c r="B1222" s="710"/>
      <c r="C1222" s="710"/>
      <c r="I1222" s="714"/>
      <c r="J1222" s="704"/>
      <c r="K1222" s="714"/>
      <c r="L1222" s="704"/>
      <c r="M1222" s="714"/>
      <c r="N1222" s="704"/>
      <c r="O1222" s="714"/>
      <c r="P1222" s="704"/>
      <c r="Q1222" s="714"/>
      <c r="R1222" s="704"/>
      <c r="S1222" s="709"/>
    </row>
    <row r="1223" spans="1:26" s="742" customFormat="1" ht="13.95" customHeight="1">
      <c r="A1223" s="741" t="s">
        <v>938</v>
      </c>
      <c r="B1223" s="701" t="s">
        <v>939</v>
      </c>
      <c r="I1223" s="895" t="s">
        <v>184</v>
      </c>
      <c r="J1223" s="895"/>
      <c r="K1223" s="895" t="s">
        <v>185</v>
      </c>
      <c r="L1223" s="895"/>
      <c r="M1223" s="895" t="s">
        <v>186</v>
      </c>
      <c r="N1223" s="895"/>
      <c r="O1223" s="895" t="s">
        <v>187</v>
      </c>
      <c r="P1223" s="895"/>
      <c r="Q1223" s="895" t="s">
        <v>188</v>
      </c>
      <c r="R1223" s="895"/>
      <c r="S1223" s="743"/>
    </row>
    <row r="1224" spans="1:26" s="716" customFormat="1" ht="13.95" customHeight="1">
      <c r="A1224" s="726">
        <f>A1217+1</f>
        <v>161</v>
      </c>
      <c r="B1224" s="38" t="s">
        <v>940</v>
      </c>
      <c r="C1224" s="38"/>
      <c r="D1224" s="38"/>
      <c r="E1224" s="38"/>
      <c r="F1224" s="38"/>
      <c r="G1224" s="38"/>
      <c r="I1224" s="714">
        <f>J1202*蔀日</f>
        <v>849814026</v>
      </c>
      <c r="J1224" s="704"/>
      <c r="K1224" s="714">
        <f>L1202*蔀日</f>
        <v>346682151</v>
      </c>
      <c r="L1224" s="704"/>
      <c r="M1224" s="714">
        <f>N1202*蔀日</f>
        <v>383018682</v>
      </c>
      <c r="N1224" s="704"/>
      <c r="O1224" s="714">
        <f>P1202*蔀日</f>
        <v>2481793395</v>
      </c>
      <c r="P1224" s="704"/>
      <c r="Q1224" s="714">
        <f>R1202*蔀日</f>
        <v>2544778566</v>
      </c>
      <c r="R1224" s="704"/>
      <c r="S1224" s="720"/>
    </row>
    <row r="1225" spans="1:26" s="716" customFormat="1" ht="13.95" customHeight="1">
      <c r="A1225" s="38"/>
      <c r="B1225" s="38" t="s">
        <v>941</v>
      </c>
      <c r="C1225" s="38"/>
      <c r="D1225" s="38"/>
      <c r="E1225" s="38"/>
      <c r="F1225" s="38"/>
      <c r="G1225" s="38"/>
      <c r="I1225" s="714">
        <f>J1218*木月法</f>
        <v>57384674</v>
      </c>
      <c r="J1225" s="704"/>
      <c r="K1225" s="714">
        <f>L1218*火月法</f>
        <v>14179149</v>
      </c>
      <c r="L1225" s="704"/>
      <c r="M1225" s="714">
        <f>N1218*土月法</f>
        <v>44415768</v>
      </c>
      <c r="N1225" s="704"/>
      <c r="O1225" s="714">
        <f>P1218*金月法</f>
        <v>2769250</v>
      </c>
      <c r="P1225" s="704"/>
      <c r="Q1225" s="714">
        <f>R1218*水月法</f>
        <v>58146764</v>
      </c>
      <c r="R1225" s="704"/>
      <c r="S1225" s="720"/>
    </row>
    <row r="1226" spans="1:26" s="716" customFormat="1" ht="13.95" customHeight="1">
      <c r="A1226" s="38"/>
      <c r="B1226" s="38" t="s">
        <v>942</v>
      </c>
      <c r="C1226" s="38"/>
      <c r="D1226" s="38"/>
      <c r="E1226" s="38"/>
      <c r="F1226" s="38"/>
      <c r="G1226" s="38"/>
      <c r="I1226" s="714">
        <f>I1224+I1225</f>
        <v>907198700</v>
      </c>
      <c r="J1226" s="704"/>
      <c r="K1226" s="714">
        <f>K1224+K1225</f>
        <v>360861300</v>
      </c>
      <c r="L1226" s="704"/>
      <c r="M1226" s="714">
        <f>M1224+M1225</f>
        <v>427434450</v>
      </c>
      <c r="N1226" s="704"/>
      <c r="O1226" s="714">
        <f>O1224+O1225</f>
        <v>2484562645</v>
      </c>
      <c r="P1226" s="704"/>
      <c r="Q1226" s="714">
        <f>Q1224+Q1225</f>
        <v>2602925330</v>
      </c>
      <c r="R1226" s="704"/>
      <c r="S1226" s="720"/>
    </row>
    <row r="1227" spans="1:26" s="716" customFormat="1" ht="13.95" customHeight="1">
      <c r="A1227" s="38"/>
      <c r="B1227" s="38" t="s">
        <v>943</v>
      </c>
      <c r="C1227" s="38"/>
      <c r="D1227" s="38"/>
      <c r="E1227" s="38"/>
      <c r="F1227" s="38"/>
      <c r="G1227" s="38"/>
      <c r="I1227" s="714">
        <f>INT(I1226/4465)</f>
        <v>203180</v>
      </c>
      <c r="J1227" s="704">
        <f>MOD(I1226,4465)</f>
        <v>0</v>
      </c>
      <c r="K1227" s="714">
        <f>INT(K1226/4465)</f>
        <v>80820</v>
      </c>
      <c r="L1227" s="704">
        <f>MOD(K1226,4465)</f>
        <v>0</v>
      </c>
      <c r="M1227" s="714">
        <f>INT(M1226/4465)</f>
        <v>95730</v>
      </c>
      <c r="N1227" s="704">
        <f>MOD(M1226,4465)</f>
        <v>0</v>
      </c>
      <c r="O1227" s="714">
        <f>INT(O1226/4465)</f>
        <v>556453</v>
      </c>
      <c r="P1227" s="704">
        <f>MOD(O1226,4465)</f>
        <v>0</v>
      </c>
      <c r="Q1227" s="714">
        <f>INT(Q1226/4465)</f>
        <v>582962</v>
      </c>
      <c r="R1227" s="704">
        <f>MOD(Q1226,4465)</f>
        <v>0</v>
      </c>
      <c r="S1227" s="720"/>
    </row>
    <row r="1228" spans="1:26" s="716" customFormat="1" ht="13.95" customHeight="1">
      <c r="A1228" s="38"/>
      <c r="B1228" s="38" t="s">
        <v>944</v>
      </c>
      <c r="C1228" s="38"/>
      <c r="D1228" s="38"/>
      <c r="E1228" s="38"/>
      <c r="F1228" s="38"/>
      <c r="G1228" s="38"/>
      <c r="I1228" s="714">
        <f>INT(I1227/木日度法)</f>
        <v>11</v>
      </c>
      <c r="J1228" s="704">
        <f>MOD(I1227,木日度法)</f>
        <v>12792</v>
      </c>
      <c r="K1228" s="714">
        <f>INT(K1227/火日度法)</f>
        <v>22</v>
      </c>
      <c r="L1228" s="704">
        <f>MOD(K1227,火日度法)</f>
        <v>3468</v>
      </c>
      <c r="M1228" s="714">
        <f>INT(M1227/土日度法)</f>
        <v>2</v>
      </c>
      <c r="N1228" s="704">
        <f>MOD(M1227,土日度法)</f>
        <v>22962</v>
      </c>
      <c r="O1228" s="714">
        <f>INT(O1227/金日度法)</f>
        <v>23</v>
      </c>
      <c r="P1228" s="704">
        <f>MOD(O1227,金日度法)</f>
        <v>20093</v>
      </c>
      <c r="Q1228" s="714">
        <f>INT(Q1227/水日度法)</f>
        <v>12</v>
      </c>
      <c r="R1228" s="704">
        <f>MOD(Q1227,水日度法)</f>
        <v>11378</v>
      </c>
      <c r="S1228" s="720"/>
    </row>
    <row r="1229" spans="1:26" s="716" customFormat="1" ht="13.95" customHeight="1">
      <c r="A1229" s="38"/>
      <c r="B1229" s="38" t="s">
        <v>945</v>
      </c>
      <c r="C1229" s="38"/>
      <c r="D1229" s="38"/>
      <c r="E1229" s="38"/>
      <c r="F1229" s="38"/>
      <c r="G1229" s="38"/>
      <c r="I1229" s="751" t="str">
        <f>CONCATENATE(CHOOSE(MOD(J1229,10)+1,"癸","甲","乙","丙","丁","戊","己","庚","辛","壬"),(CHOOSE(MOD(J1229,12)+1,"亥","子","丑","寅","卯","辰","巳","午","未","申","酉","戌")))</f>
        <v>乙卯</v>
      </c>
      <c r="J1229" s="704">
        <f>MOD(I1228+J1221-1,60)+1</f>
        <v>52</v>
      </c>
      <c r="K1229" s="751" t="str">
        <f>CONCATENATE(CHOOSE(MOD(L1229,10)+1,"癸","甲","乙","丙","丁","戊","己","庚","辛","壬"),(CHOOSE(MOD(L1229,12)+1,"亥","子","丑","寅","卯","辰","巳","午","未","申","酉","戌")))</f>
        <v>辛丑</v>
      </c>
      <c r="L1229" s="704">
        <f>MOD(K1228+L1221-1,60)+1</f>
        <v>38</v>
      </c>
      <c r="M1229" s="751" t="str">
        <f>CONCATENATE(CHOOSE(MOD(N1229,10)+1,"癸","甲","乙","丙","丁","戊","己","庚","辛","壬"),(CHOOSE(MOD(N1229,12)+1,"亥","子","丑","寅","卯","辰","巳","午","未","申","酉","戌")))</f>
        <v>丙子</v>
      </c>
      <c r="N1229" s="704">
        <f>MOD(M1228+N1221-1,60)+1</f>
        <v>13</v>
      </c>
      <c r="O1229" s="751" t="str">
        <f>CONCATENATE(CHOOSE(MOD(P1229,10)+1,"癸","甲","乙","丙","丁","戊","己","庚","辛","壬"),(CHOOSE(MOD(P1229,12)+1,"亥","子","丑","寅","卯","辰","巳","午","未","申","酉","戌")))</f>
        <v>辛丑</v>
      </c>
      <c r="P1229" s="704">
        <f>MOD(O1228+P1221-1,60)+1</f>
        <v>38</v>
      </c>
      <c r="Q1229" s="751" t="str">
        <f>CONCATENATE(CHOOSE(MOD(R1229,10)+1,"癸","甲","乙","丙","丁","戊","己","庚","辛","壬"),(CHOOSE(MOD(R1229,12)+1,"亥","子","丑","寅","卯","辰","巳","午","未","申","酉","戌")))</f>
        <v>丙戌</v>
      </c>
      <c r="R1229" s="704">
        <f>MOD(Q1228+R1221-1,60)+1</f>
        <v>23</v>
      </c>
      <c r="S1229" s="720"/>
    </row>
    <row r="1230" spans="1:26" s="10" customFormat="1" ht="13.95" customHeight="1">
      <c r="A1230"/>
      <c r="B1230" s="4"/>
      <c r="D1230" s="26"/>
      <c r="E1230" s="26"/>
      <c r="F1230" s="26"/>
      <c r="I1230" s="714"/>
      <c r="J1230" s="704"/>
      <c r="K1230" s="714"/>
      <c r="L1230" s="704"/>
      <c r="M1230" s="714"/>
      <c r="N1230" s="704"/>
      <c r="O1230" s="714"/>
      <c r="P1230" s="704"/>
      <c r="Q1230" s="714"/>
      <c r="R1230" s="704"/>
      <c r="S1230" s="93"/>
      <c r="T1230"/>
      <c r="U1230"/>
      <c r="V1230"/>
      <c r="W1230"/>
      <c r="X1230"/>
      <c r="Y1230"/>
      <c r="Z1230"/>
    </row>
    <row r="1231" spans="1:26" s="10" customFormat="1" ht="30.6" customHeight="1">
      <c r="A1231"/>
      <c r="B1231" s="871" t="s">
        <v>951</v>
      </c>
      <c r="C1231" s="871"/>
      <c r="D1231" s="871"/>
      <c r="E1231" s="871"/>
      <c r="F1231" s="871"/>
      <c r="G1231" s="871"/>
      <c r="H1231" s="918"/>
      <c r="I1231" s="714"/>
      <c r="J1231" s="704"/>
      <c r="K1231" s="714"/>
      <c r="L1231" s="704"/>
      <c r="M1231" s="714"/>
      <c r="N1231" s="704"/>
      <c r="O1231" s="714"/>
      <c r="P1231" s="704"/>
      <c r="Q1231" s="714"/>
      <c r="R1231" s="704"/>
      <c r="S1231" s="93"/>
      <c r="T1231"/>
      <c r="U1231"/>
      <c r="V1231"/>
      <c r="W1231"/>
      <c r="X1231"/>
      <c r="Y1231"/>
      <c r="Z1231"/>
    </row>
    <row r="1232" spans="1:26">
      <c r="I1232" s="714"/>
      <c r="J1232" s="704"/>
      <c r="K1232" s="714"/>
      <c r="L1232" s="704"/>
      <c r="M1232" s="714"/>
      <c r="N1232" s="704"/>
      <c r="O1232" s="714"/>
      <c r="P1232" s="704"/>
      <c r="Q1232" s="714"/>
      <c r="R1232" s="704"/>
    </row>
    <row r="1233" spans="1:19" s="742" customFormat="1" ht="13.95" customHeight="1">
      <c r="A1233" s="741" t="s">
        <v>952</v>
      </c>
      <c r="B1233" s="701" t="s">
        <v>953</v>
      </c>
      <c r="I1233" s="895" t="s">
        <v>184</v>
      </c>
      <c r="J1233" s="895"/>
      <c r="K1233" s="895" t="s">
        <v>185</v>
      </c>
      <c r="L1233" s="895"/>
      <c r="M1233" s="895" t="s">
        <v>186</v>
      </c>
      <c r="N1233" s="895"/>
      <c r="O1233" s="895" t="s">
        <v>187</v>
      </c>
      <c r="P1233" s="895"/>
      <c r="Q1233" s="895" t="s">
        <v>188</v>
      </c>
      <c r="R1233" s="895"/>
      <c r="S1233" s="743"/>
    </row>
    <row r="1234" spans="1:19" s="12" customFormat="1" ht="12" customHeight="1">
      <c r="A1234" s="688">
        <f>A1224+1</f>
        <v>162</v>
      </c>
      <c r="B1234" t="s">
        <v>954</v>
      </c>
      <c r="C1234"/>
      <c r="D1234"/>
      <c r="E1234"/>
      <c r="F1234"/>
      <c r="G1234"/>
      <c r="H1234"/>
      <c r="I1234" s="714">
        <f>周天*I1196</f>
        <v>5516736</v>
      </c>
      <c r="J1234" s="704"/>
      <c r="K1234" s="714">
        <f>周天*K1196</f>
        <v>17532</v>
      </c>
      <c r="L1234" s="704"/>
      <c r="M1234" s="714">
        <f>周天*M1196</f>
        <v>12357138</v>
      </c>
      <c r="N1234" s="704"/>
      <c r="O1234" s="714">
        <f>周天*O1196</f>
        <v>2911773</v>
      </c>
      <c r="P1234" s="704"/>
      <c r="Q1234" s="714">
        <f>周天*Q1196</f>
        <v>16634946</v>
      </c>
      <c r="R1234" s="704"/>
      <c r="S1234" s="103"/>
    </row>
    <row r="1235" spans="1:19" s="12" customFormat="1" ht="12" customHeight="1">
      <c r="A1235"/>
      <c r="B1235" t="s">
        <v>955</v>
      </c>
      <c r="C1235"/>
      <c r="D1235"/>
      <c r="E1235"/>
      <c r="F1235"/>
      <c r="G1235"/>
      <c r="H1235"/>
      <c r="I1235" s="714">
        <f>INT(I1234/木日度法)</f>
        <v>318</v>
      </c>
      <c r="J1235" s="704">
        <f>MOD(I1234,木日度法)</f>
        <v>12792</v>
      </c>
      <c r="K1235" s="714">
        <f>INT(K1234/火日度法)</f>
        <v>4</v>
      </c>
      <c r="L1235" s="704">
        <f>MOD(K1234,火日度法)</f>
        <v>3468</v>
      </c>
      <c r="M1235" s="714">
        <f>INT(M1234/土日度法)</f>
        <v>339</v>
      </c>
      <c r="N1235" s="704">
        <f>MOD(M1234,土日度法)</f>
        <v>22962</v>
      </c>
      <c r="O1235" s="714">
        <f>INT(O1234/金日度法)</f>
        <v>124</v>
      </c>
      <c r="P1235" s="704">
        <f>MOD(O1234,金日度法)</f>
        <v>20093</v>
      </c>
      <c r="Q1235" s="714">
        <f>INT(Q1234/水日度法)</f>
        <v>349</v>
      </c>
      <c r="R1235" s="704">
        <f>MOD(Q1234,水日度法)</f>
        <v>11378</v>
      </c>
      <c r="S1235" s="103"/>
    </row>
    <row r="1236" spans="1:19" s="12" customFormat="1" ht="12" customHeight="1">
      <c r="A1236"/>
      <c r="B1236"/>
      <c r="C1236"/>
      <c r="D1236"/>
      <c r="E1236"/>
      <c r="F1236"/>
      <c r="G1236"/>
      <c r="H1236"/>
      <c r="I1236" s="714"/>
      <c r="J1236" s="704"/>
      <c r="K1236" s="714"/>
      <c r="L1236" s="704"/>
      <c r="M1236" s="714"/>
      <c r="N1236" s="704"/>
      <c r="O1236" s="714"/>
      <c r="P1236" s="704"/>
      <c r="Q1236" s="714"/>
      <c r="R1236" s="704"/>
      <c r="S1236" s="103"/>
    </row>
    <row r="1237" spans="1:19" s="12" customFormat="1" ht="40.950000000000003" customHeight="1">
      <c r="A1237"/>
      <c r="B1237" s="871" t="s">
        <v>957</v>
      </c>
      <c r="C1237" s="871"/>
      <c r="D1237" s="871"/>
      <c r="E1237" s="871"/>
      <c r="F1237" s="871"/>
      <c r="G1237" s="871"/>
      <c r="H1237" s="918"/>
      <c r="I1237" s="714"/>
      <c r="J1237" s="704"/>
      <c r="K1237" s="714"/>
      <c r="L1237" s="704"/>
      <c r="M1237" s="714"/>
      <c r="N1237" s="704"/>
      <c r="O1237" s="714"/>
      <c r="P1237" s="704"/>
      <c r="Q1237" s="714"/>
      <c r="R1237" s="704"/>
      <c r="S1237" s="103"/>
    </row>
    <row r="1238" spans="1:19" s="79" customFormat="1" ht="12.6" customHeight="1" thickBot="1">
      <c r="A1238" s="26"/>
      <c r="B1238" s="666"/>
      <c r="C1238" s="666"/>
      <c r="D1238" s="399"/>
      <c r="E1238" s="399"/>
      <c r="F1238" s="399"/>
      <c r="G1238" s="399"/>
      <c r="H1238" s="399"/>
      <c r="I1238" s="705" t="s">
        <v>961</v>
      </c>
      <c r="J1238" s="763">
        <f>IF($D$1239="Rounding",4,木日度法)</f>
        <v>17308</v>
      </c>
      <c r="K1238" s="705" t="s">
        <v>961</v>
      </c>
      <c r="L1238" s="763">
        <f>IF($D$1239="Rounding",4,火日度法)</f>
        <v>3516</v>
      </c>
      <c r="M1238" s="705" t="s">
        <v>961</v>
      </c>
      <c r="N1238" s="763">
        <f>IF($D$1239="Rounding",4,土日度法)</f>
        <v>36384</v>
      </c>
      <c r="O1238" s="705" t="s">
        <v>961</v>
      </c>
      <c r="P1238" s="763">
        <f>IF($D$1239="Rounding",4,金日度法)</f>
        <v>23320</v>
      </c>
      <c r="Q1238" s="705" t="s">
        <v>961</v>
      </c>
      <c r="R1238" s="763">
        <f>IF($D$1239="Rounding",4,水日度法)</f>
        <v>47632</v>
      </c>
      <c r="S1238" s="99"/>
    </row>
    <row r="1239" spans="1:19" s="754" customFormat="1" ht="12.6" customHeight="1" thickBot="1">
      <c r="A1239" s="712"/>
      <c r="B1239" s="764"/>
      <c r="C1239" s="765" t="s">
        <v>616</v>
      </c>
      <c r="D1239" s="919" t="s">
        <v>1091</v>
      </c>
      <c r="E1239" s="920"/>
      <c r="F1239" s="766"/>
      <c r="G1239" s="766"/>
      <c r="H1239" s="766"/>
      <c r="I1239" s="767">
        <f>I1235</f>
        <v>318</v>
      </c>
      <c r="J1239" s="704">
        <f>ROUND(J1235*J1238/木日度法,0)</f>
        <v>12792</v>
      </c>
      <c r="K1239" s="767">
        <f>K1235</f>
        <v>4</v>
      </c>
      <c r="L1239" s="704">
        <f>ROUND(L1235*L1238/火日度法,0)</f>
        <v>3468</v>
      </c>
      <c r="M1239" s="767">
        <f>M1235</f>
        <v>339</v>
      </c>
      <c r="N1239" s="704">
        <f>ROUND(N1235*N1238/土日度法,0)</f>
        <v>22962</v>
      </c>
      <c r="O1239" s="767">
        <f>O1235</f>
        <v>124</v>
      </c>
      <c r="P1239" s="704">
        <f>ROUND(P1235*P1238/金日度法,0)</f>
        <v>20093</v>
      </c>
      <c r="Q1239" s="767">
        <f>Q1235</f>
        <v>349</v>
      </c>
      <c r="R1239" s="704">
        <f>ROUND(R1235*R1238/水日度法,0)</f>
        <v>11378</v>
      </c>
      <c r="S1239" s="768"/>
    </row>
    <row r="1240" spans="1:19" s="771" customFormat="1" ht="12" customHeight="1">
      <c r="A1240" s="712"/>
      <c r="B1240" s="764"/>
      <c r="C1240" s="764"/>
      <c r="D1240" s="766"/>
      <c r="E1240" s="766"/>
      <c r="F1240" s="766"/>
      <c r="G1240" s="766"/>
      <c r="H1240" s="766"/>
      <c r="I1240" s="767">
        <v>21</v>
      </c>
      <c r="J1240" s="769">
        <f>J1238/4</f>
        <v>4327</v>
      </c>
      <c r="K1240" s="767">
        <v>21</v>
      </c>
      <c r="L1240" s="769">
        <f>L1238/4</f>
        <v>879</v>
      </c>
      <c r="M1240" s="767">
        <v>21</v>
      </c>
      <c r="N1240" s="769">
        <f>N1238/4</f>
        <v>9096</v>
      </c>
      <c r="O1240" s="767">
        <v>21</v>
      </c>
      <c r="P1240" s="769">
        <f>P1238/4</f>
        <v>5830</v>
      </c>
      <c r="Q1240" s="767">
        <v>21</v>
      </c>
      <c r="R1240" s="769">
        <f>R1238/4</f>
        <v>11908</v>
      </c>
      <c r="S1240" s="770"/>
    </row>
    <row r="1241" spans="1:19" ht="12" customHeight="1">
      <c r="I1241" s="714"/>
      <c r="J1241" s="704"/>
      <c r="K1241" s="714"/>
      <c r="L1241" s="704"/>
      <c r="M1241" s="714"/>
      <c r="N1241" s="704"/>
      <c r="O1241" s="714"/>
      <c r="P1241" s="704"/>
      <c r="Q1241" s="714"/>
      <c r="R1241" s="704"/>
    </row>
    <row r="1242" spans="1:19" s="12" customFormat="1" ht="12" customHeight="1">
      <c r="A1242"/>
      <c r="B1242" t="s">
        <v>956</v>
      </c>
      <c r="C1242"/>
      <c r="D1242"/>
      <c r="E1242"/>
      <c r="F1242"/>
      <c r="G1242"/>
      <c r="H1242" s="321" t="s">
        <v>958</v>
      </c>
      <c r="I1242" s="714">
        <f>INT((MOD((I1239+I1240)*J1238+J1239+J1240,mean_solar_year*J1238))/J1238)</f>
        <v>339</v>
      </c>
      <c r="J1242" s="704">
        <f>MOD(MOD((I1239+I1240)*J1238+J1239+J1240,mean_solar_year*J1238),J1238)</f>
        <v>17119</v>
      </c>
      <c r="K1242" s="714">
        <f>INT((MOD((K1239+K1240)*L1238+L1239+L1240,mean_solar_year*L1238))/L1238)</f>
        <v>26</v>
      </c>
      <c r="L1242" s="704">
        <f>MOD(MOD((K1239+K1240)*L1238+L1239+L1240,mean_solar_year*L1238),L1238)</f>
        <v>831</v>
      </c>
      <c r="M1242" s="714">
        <f>INT((MOD((M1239+M1240)*N1238+N1239+N1240,mean_solar_year*N1238))/N1238)</f>
        <v>360</v>
      </c>
      <c r="N1242" s="704">
        <f>MOD(MOD((M1239+M1240)*N1238+N1239+N1240,mean_solar_year*N1238),N1238)</f>
        <v>32058</v>
      </c>
      <c r="O1242" s="714">
        <f>INT((MOD((O1239+O1240)*P1238+P1239+P1240,mean_solar_year*P1238))/P1238)</f>
        <v>146</v>
      </c>
      <c r="P1242" s="704">
        <f>MOD(MOD((O1239+O1240)*P1238+P1239+P1240,mean_solar_year*P1238),P1238)</f>
        <v>2603</v>
      </c>
      <c r="Q1242" s="714">
        <f>INT((MOD((Q1239+Q1240)*R1238+R1239+R1240,mean_solar_year*R1238))/R1238)</f>
        <v>5</v>
      </c>
      <c r="R1242" s="704">
        <f>MOD(MOD((Q1239+Q1240)*R1238+R1239+R1240,mean_solar_year*R1238),R1238)</f>
        <v>11378</v>
      </c>
      <c r="S1242" s="103"/>
    </row>
    <row r="1243" spans="1:19" s="12" customFormat="1" ht="12" customHeight="1">
      <c r="A1243"/>
      <c r="B1243"/>
      <c r="C1243"/>
      <c r="D1243"/>
      <c r="E1243"/>
      <c r="F1243"/>
      <c r="G1243"/>
      <c r="H1243" s="772" t="s">
        <v>959</v>
      </c>
      <c r="I1243" s="773" t="str">
        <f>INDEX(lodge.names,MATCH((I1242*J1238+J1242)/J1238,lodge.dipper.du,1))</f>
        <v>尾</v>
      </c>
      <c r="J1243" s="774"/>
      <c r="K1243" s="773" t="str">
        <f>INDEX(lodge.names,MATCH((K1242*L1238+L1242)/L1238,lodge.dipper.du,1))</f>
        <v>斗</v>
      </c>
      <c r="L1243" s="774"/>
      <c r="M1243" s="773" t="str">
        <f>INDEX(lodge.names,MATCH((M1242*N1238+N1242)/N1238,lodge.dipper.du,1))</f>
        <v>箕</v>
      </c>
      <c r="N1243" s="774"/>
      <c r="O1243" s="773" t="str">
        <f>INDEX(lodge.names,MATCH((O1242*P1238+P1242)/P1238,lodge.dipper.du,1))</f>
        <v>昴</v>
      </c>
      <c r="P1243" s="774"/>
      <c r="Q1243" s="773" t="str">
        <f>INDEX(lodge.names,MATCH((Q1242*R1238+R1242)/R1238,lodge.dipper.du,1))</f>
        <v>斗</v>
      </c>
      <c r="R1243" s="774"/>
      <c r="S1243" s="762"/>
    </row>
    <row r="1244" spans="1:19" s="12" customFormat="1" ht="12" customHeight="1">
      <c r="A1244"/>
      <c r="B1244"/>
      <c r="C1244"/>
      <c r="D1244"/>
      <c r="E1244"/>
      <c r="F1244"/>
      <c r="G1244"/>
      <c r="H1244" s="775" t="s">
        <v>960</v>
      </c>
      <c r="I1244" s="776">
        <f>INT(((I1242*J1238+J1242)-(INDEX(lodge.dipper.du,MATCH(I1243,lodge.names,0))*J1238))/J1238)</f>
        <v>3</v>
      </c>
      <c r="J1244" s="777">
        <f>MOD(((I1242*J1238+J1242)-(INDEX(lodge.dipper.du,MATCH(I1243,lodge.names,0))*J1238)),J1238)</f>
        <v>12792</v>
      </c>
      <c r="K1244" s="776">
        <f>INT(((K1242*L1238+L1242)-(INDEX(lodge.dipper.du,MATCH(K1243,lodge.names,0))*L1238))/L1238)</f>
        <v>26</v>
      </c>
      <c r="L1244" s="777">
        <f>MOD(((K1242*L1238+L1242)-(INDEX(lodge.dipper.du,MATCH(K1243,lodge.names,0))*L1238)),L1238)</f>
        <v>831</v>
      </c>
      <c r="M1244" s="776">
        <f>INT(((M1242*N1238+N1242)-(INDEX(lodge.dipper.du,MATCH(M1243,lodge.names,0))*N1238))/N1238)</f>
        <v>6</v>
      </c>
      <c r="N1244" s="777">
        <f>MOD(((M1242*N1238+N1242)-(INDEX(lodge.dipper.du,MATCH(M1243,lodge.names,0))*N1238)),N1238)</f>
        <v>22962</v>
      </c>
      <c r="O1244" s="776">
        <f>INT(((O1242*P1238+P1242)-(INDEX(lodge.dipper.du,MATCH(O1243,lodge.names,0))*P1238))/P1238)</f>
        <v>5</v>
      </c>
      <c r="P1244" s="777">
        <f>MOD(((O1242*P1238+P1242)-(INDEX(lodge.dipper.du,MATCH(O1243,lodge.names,0))*P1238)),P1238)</f>
        <v>20093</v>
      </c>
      <c r="Q1244" s="776">
        <f>INT(((Q1242*R1238+R1242)-(INDEX(lodge.dipper.du,MATCH(Q1243,lodge.names,0))*R1238))/R1238)</f>
        <v>5</v>
      </c>
      <c r="R1244" s="777">
        <f>MOD(((Q1242*R1238+R1242)-(INDEX(lodge.dipper.du,MATCH(Q1243,lodge.names,0))*R1238)),R1238)</f>
        <v>11378</v>
      </c>
      <c r="S1244" s="762"/>
    </row>
    <row r="1245" spans="1:19" ht="12" customHeight="1">
      <c r="I1245" s="795"/>
      <c r="J1245" s="774"/>
      <c r="M1245" s="423"/>
      <c r="N1245" s="798"/>
      <c r="Q1245" s="799"/>
      <c r="R1245" s="655"/>
    </row>
    <row r="1246" spans="1:19" s="742" customFormat="1" ht="13.95" customHeight="1">
      <c r="A1246" s="741" t="s">
        <v>962</v>
      </c>
      <c r="B1246" s="701" t="s">
        <v>963</v>
      </c>
      <c r="I1246" s="869" t="s">
        <v>184</v>
      </c>
      <c r="J1246" s="870"/>
      <c r="K1246" s="880" t="s">
        <v>185</v>
      </c>
      <c r="L1246" s="881"/>
      <c r="M1246" s="869" t="s">
        <v>186</v>
      </c>
      <c r="N1246" s="870"/>
      <c r="O1246" s="880" t="s">
        <v>187</v>
      </c>
      <c r="P1246" s="881"/>
      <c r="Q1246" s="869" t="s">
        <v>188</v>
      </c>
      <c r="R1246" s="870"/>
      <c r="S1246" s="800"/>
    </row>
    <row r="1247" spans="1:19" s="803" customFormat="1" ht="13.95" customHeight="1">
      <c r="A1247" s="801"/>
      <c r="B1247" s="802"/>
      <c r="I1247" s="804"/>
      <c r="J1247" s="805"/>
      <c r="K1247" s="806"/>
      <c r="L1247" s="806"/>
      <c r="M1247" s="804"/>
      <c r="N1247" s="805"/>
      <c r="O1247" s="806"/>
      <c r="P1247" s="806"/>
      <c r="Q1247" s="804"/>
      <c r="R1247" s="805"/>
      <c r="S1247" s="807"/>
    </row>
    <row r="1248" spans="1:19" s="803" customFormat="1" ht="90.75" customHeight="1">
      <c r="A1248" s="801"/>
      <c r="B1248" s="871" t="s">
        <v>987</v>
      </c>
      <c r="C1248" s="871"/>
      <c r="D1248" s="871"/>
      <c r="E1248" s="871"/>
      <c r="F1248" s="871"/>
      <c r="G1248" s="871"/>
      <c r="H1248" s="872"/>
      <c r="I1248" s="804"/>
      <c r="J1248" s="805"/>
      <c r="K1248" s="806"/>
      <c r="L1248" s="806"/>
      <c r="M1248" s="804"/>
      <c r="N1248" s="805"/>
      <c r="O1248" s="806"/>
      <c r="P1248" s="806"/>
      <c r="Q1248" s="804"/>
      <c r="R1248" s="805"/>
      <c r="S1248" s="807"/>
    </row>
    <row r="1249" spans="1:19" s="803" customFormat="1" ht="13.95" customHeight="1">
      <c r="A1249" s="801"/>
      <c r="B1249" s="802"/>
      <c r="I1249" s="804"/>
      <c r="J1249" s="805"/>
      <c r="K1249" s="806"/>
      <c r="L1249" s="806"/>
      <c r="M1249" s="804"/>
      <c r="N1249" s="805"/>
      <c r="O1249" s="806"/>
      <c r="P1249" s="806"/>
      <c r="Q1249" s="804"/>
      <c r="R1249" s="805"/>
      <c r="S1249" s="807"/>
    </row>
    <row r="1250" spans="1:19" s="48" customFormat="1" ht="11.4" customHeight="1">
      <c r="A1250" s="688">
        <f>A1234+1</f>
        <v>163</v>
      </c>
      <c r="B1250" t="s">
        <v>964</v>
      </c>
      <c r="C1250"/>
      <c r="D1250"/>
      <c r="E1250"/>
      <c r="F1250"/>
      <c r="G1250"/>
      <c r="I1250" s="796">
        <f>I1190-1</f>
        <v>-1</v>
      </c>
      <c r="J1250" s="793"/>
      <c r="K1250" s="796">
        <f>K1190-1</f>
        <v>-1</v>
      </c>
      <c r="L1250" s="793"/>
      <c r="M1250" s="796">
        <f>M1190-1</f>
        <v>-1</v>
      </c>
      <c r="N1250" s="793"/>
      <c r="O1250" s="796">
        <f>O1190-1</f>
        <v>-1</v>
      </c>
      <c r="P1250" s="793"/>
      <c r="Q1250" s="796">
        <f>Q1190-1</f>
        <v>-1</v>
      </c>
      <c r="R1250" s="793"/>
    </row>
    <row r="1251" spans="1:19" s="48" customFormat="1">
      <c r="A1251"/>
      <c r="B1251" t="s">
        <v>965</v>
      </c>
      <c r="C1251"/>
      <c r="D1251"/>
      <c r="E1251"/>
      <c r="F1251"/>
      <c r="G1251"/>
      <c r="H1251"/>
      <c r="I1251" s="727">
        <f>$I$1178+I1250</f>
        <v>9412</v>
      </c>
      <c r="J1251" s="655"/>
      <c r="K1251" s="727">
        <f>$I$1178+K1250</f>
        <v>9412</v>
      </c>
      <c r="L1251" s="655"/>
      <c r="M1251" s="727">
        <f>$I$1178+M1250</f>
        <v>9412</v>
      </c>
      <c r="N1251" s="655"/>
      <c r="O1251" s="727">
        <f>$I$1178+O1250</f>
        <v>9412</v>
      </c>
      <c r="P1251" s="655"/>
      <c r="Q1251" s="727">
        <f>$I$1178+Q1250</f>
        <v>9412</v>
      </c>
      <c r="R1251" s="655"/>
    </row>
    <row r="1252" spans="1:19" s="48" customFormat="1">
      <c r="A1252"/>
      <c r="B1252"/>
      <c r="C1252"/>
      <c r="D1252"/>
      <c r="E1252"/>
      <c r="F1252"/>
      <c r="G1252"/>
      <c r="H1252"/>
      <c r="I1252" s="727"/>
      <c r="J1252" s="655"/>
      <c r="K1252" s="727"/>
      <c r="L1252" s="655"/>
      <c r="M1252" s="727"/>
      <c r="N1252" s="655"/>
      <c r="O1252" s="727"/>
      <c r="P1252" s="655"/>
      <c r="Q1252" s="727"/>
      <c r="R1252" s="655"/>
    </row>
    <row r="1253" spans="1:19" s="10" customFormat="1" ht="12.6" customHeight="1">
      <c r="A1253" s="688"/>
      <c r="B1253" s="766"/>
      <c r="C1253" s="766"/>
      <c r="D1253" s="766"/>
      <c r="E1253" s="766"/>
      <c r="F1253" s="766"/>
      <c r="G1253" s="766"/>
      <c r="H1253" s="810" t="s">
        <v>1004</v>
      </c>
      <c r="I1253" s="782" t="str">
        <f>CHOOSE(current.year-J1253+1,"本年","前年","前前年","前前前年","前前前前年")</f>
        <v>前年</v>
      </c>
      <c r="J1253" s="820">
        <f>current.year+I1250</f>
        <v>131</v>
      </c>
      <c r="K1253" s="782" t="str">
        <f>CHOOSE(current.year-L1253+1,"本年","前年","前前年","前前前年","前前前前年")</f>
        <v>前年</v>
      </c>
      <c r="L1253" s="820">
        <f>current.year+K1250</f>
        <v>131</v>
      </c>
      <c r="M1253" s="782" t="str">
        <f>CHOOSE(current.year-N1253+1,"本年","前年","前前年","前前前年","前前前前年")</f>
        <v>前年</v>
      </c>
      <c r="N1253" s="820">
        <f>current.year+M1250</f>
        <v>131</v>
      </c>
      <c r="O1253" s="782" t="str">
        <f>CHOOSE(current.year-P1253+1,"本年","前年","前前年","前前前年","前前前前年")</f>
        <v>前年</v>
      </c>
      <c r="P1253" s="820">
        <f>current.year+O1250</f>
        <v>131</v>
      </c>
      <c r="Q1253" s="782" t="str">
        <f>CHOOSE(current.year-R1253+1,"本年","前年","前前年","前前前年","前前前前年")</f>
        <v>前年</v>
      </c>
      <c r="R1253" s="820">
        <f>current.year+Q1250</f>
        <v>131</v>
      </c>
    </row>
    <row r="1254" spans="1:19" s="48" customFormat="1">
      <c r="A1254"/>
      <c r="B1254"/>
      <c r="C1254"/>
      <c r="D1254"/>
      <c r="E1254"/>
      <c r="F1254"/>
      <c r="G1254"/>
      <c r="H1254"/>
      <c r="I1254" s="727"/>
      <c r="J1254" s="655"/>
      <c r="K1254" s="727"/>
      <c r="L1254" s="655"/>
      <c r="M1254" s="727"/>
      <c r="N1254" s="655"/>
      <c r="O1254" s="727"/>
      <c r="P1254" s="655"/>
      <c r="Q1254" s="727"/>
      <c r="R1254" s="655"/>
    </row>
    <row r="1255" spans="1:19" s="48" customFormat="1">
      <c r="A1255"/>
      <c r="B1255" t="s">
        <v>966</v>
      </c>
      <c r="C1255"/>
      <c r="D1255"/>
      <c r="E1255"/>
      <c r="F1255"/>
      <c r="G1255"/>
      <c r="H1255"/>
      <c r="I1255" s="767">
        <f>INT(I1251/80)</f>
        <v>117</v>
      </c>
      <c r="J1255" s="769">
        <f>MOD(I1251,80)</f>
        <v>52</v>
      </c>
      <c r="K1255" s="767">
        <f>INT(K1251/80)</f>
        <v>117</v>
      </c>
      <c r="L1255" s="769">
        <f>MOD(K1251,80)</f>
        <v>52</v>
      </c>
      <c r="M1255" s="767">
        <f>INT(M1251/80)</f>
        <v>117</v>
      </c>
      <c r="N1255" s="769">
        <f>MOD(M1251,80)</f>
        <v>52</v>
      </c>
      <c r="O1255" s="767">
        <f>INT(O1251/80)</f>
        <v>117</v>
      </c>
      <c r="P1255" s="769">
        <f>MOD(O1251,80)</f>
        <v>52</v>
      </c>
      <c r="Q1255" s="767">
        <f>INT(Q1251/80)</f>
        <v>117</v>
      </c>
      <c r="R1255" s="769">
        <f>MOD(Q1251,80)</f>
        <v>52</v>
      </c>
    </row>
    <row r="1256" spans="1:19" s="48" customFormat="1" ht="13.2" customHeight="1">
      <c r="A1256"/>
      <c r="B1256" t="s">
        <v>967</v>
      </c>
      <c r="C1256"/>
      <c r="D1256"/>
      <c r="E1256"/>
      <c r="F1256"/>
      <c r="G1256"/>
      <c r="H1256"/>
      <c r="I1256" s="767">
        <f>J1255*沒數</f>
        <v>1092</v>
      </c>
      <c r="J1256" s="769"/>
      <c r="K1256" s="767">
        <f>L1255*沒數</f>
        <v>1092</v>
      </c>
      <c r="L1256" s="769"/>
      <c r="M1256" s="767">
        <f>N1255*沒數</f>
        <v>1092</v>
      </c>
      <c r="N1256" s="769"/>
      <c r="O1256" s="767">
        <f>P1255*沒數</f>
        <v>1092</v>
      </c>
      <c r="P1256" s="769"/>
      <c r="Q1256" s="767">
        <f>R1255*沒數</f>
        <v>1092</v>
      </c>
      <c r="R1256" s="769"/>
    </row>
    <row r="1257" spans="1:19" s="48" customFormat="1" ht="13.2" customHeight="1">
      <c r="A1257"/>
      <c r="B1257" t="s">
        <v>968</v>
      </c>
      <c r="C1257"/>
      <c r="D1257"/>
      <c r="E1257"/>
      <c r="F1257"/>
      <c r="G1257"/>
      <c r="H1257"/>
      <c r="I1257" s="767">
        <f>INT(I1256/日法)</f>
        <v>273</v>
      </c>
      <c r="J1257" s="769">
        <f>MOD(I1256,日法)</f>
        <v>0</v>
      </c>
      <c r="K1257" s="767">
        <f>INT(K1256/日法)</f>
        <v>273</v>
      </c>
      <c r="L1257" s="769">
        <f>MOD(K1256,日法)</f>
        <v>0</v>
      </c>
      <c r="M1257" s="767">
        <f>INT(M1256/日法)</f>
        <v>273</v>
      </c>
      <c r="N1257" s="769">
        <f>MOD(M1256,日法)</f>
        <v>0</v>
      </c>
      <c r="O1257" s="767">
        <f>INT(O1256/日法)</f>
        <v>273</v>
      </c>
      <c r="P1257" s="769">
        <f>MOD(O1256,日法)</f>
        <v>0</v>
      </c>
      <c r="Q1257" s="767">
        <f>INT(Q1256/日法)</f>
        <v>273</v>
      </c>
      <c r="R1257" s="769">
        <f>MOD(Q1256,日法)</f>
        <v>0</v>
      </c>
    </row>
    <row r="1258" spans="1:19" s="48" customFormat="1" ht="13.2" customHeight="1">
      <c r="A1258"/>
      <c r="B1258"/>
      <c r="C1258"/>
      <c r="D1258"/>
      <c r="E1258"/>
      <c r="F1258"/>
      <c r="G1258"/>
      <c r="H1258"/>
      <c r="I1258" s="767"/>
      <c r="J1258" s="769"/>
      <c r="K1258" s="767"/>
      <c r="L1258" s="769"/>
      <c r="M1258" s="767"/>
      <c r="N1258" s="769"/>
      <c r="O1258" s="767"/>
      <c r="P1258" s="769"/>
      <c r="Q1258" s="767"/>
      <c r="R1258" s="769"/>
    </row>
    <row r="1259" spans="1:19" s="48" customFormat="1" ht="13.2" customHeight="1">
      <c r="A1259"/>
      <c r="B1259" t="s">
        <v>969</v>
      </c>
      <c r="C1259"/>
      <c r="D1259"/>
      <c r="E1259"/>
      <c r="F1259"/>
      <c r="G1259"/>
      <c r="H1259"/>
      <c r="I1259" s="625" t="str">
        <f>CONCATENATE(CHOOSE(MOD(J1259,10)+1,"癸","甲","乙","丙","丁","戊","己","庚","辛","壬"),(CHOOSE(MOD(J1259,12)+1,"亥","子","丑","寅","卯","辰","巳","午","未","申","酉","戌")))</f>
        <v>丁酉</v>
      </c>
      <c r="J1259" s="797">
        <f>MOD(I1257,60)+1</f>
        <v>34</v>
      </c>
      <c r="K1259" s="625" t="str">
        <f>CONCATENATE(CHOOSE(MOD(L1259,10)+1,"癸","甲","乙","丙","丁","戊","己","庚","辛","壬"),(CHOOSE(MOD(L1259,12)+1,"亥","子","丑","寅","卯","辰","巳","午","未","申","酉","戌")))</f>
        <v>丁酉</v>
      </c>
      <c r="L1259" s="797">
        <f>MOD(K1257,60)+1</f>
        <v>34</v>
      </c>
      <c r="M1259" s="625" t="str">
        <f>CONCATENATE(CHOOSE(MOD(N1259,10)+1,"癸","甲","乙","丙","丁","戊","己","庚","辛","壬"),(CHOOSE(MOD(N1259,12)+1,"亥","子","丑","寅","卯","辰","巳","午","未","申","酉","戌")))</f>
        <v>丁酉</v>
      </c>
      <c r="N1259" s="797">
        <f>MOD(M1257,60)+1</f>
        <v>34</v>
      </c>
      <c r="O1259" s="625" t="str">
        <f>CONCATENATE(CHOOSE(MOD(P1259,10)+1,"癸","甲","乙","丙","丁","戊","己","庚","辛","壬"),(CHOOSE(MOD(P1259,12)+1,"亥","子","丑","寅","卯","辰","巳","午","未","申","酉","戌")))</f>
        <v>丁酉</v>
      </c>
      <c r="P1259" s="797">
        <f>MOD(O1257,60)+1</f>
        <v>34</v>
      </c>
      <c r="Q1259" s="625" t="str">
        <f>CONCATENATE(CHOOSE(MOD(R1259,10)+1,"癸","甲","乙","丙","丁","戊","己","庚","辛","壬"),(CHOOSE(MOD(R1259,12)+1,"亥","子","丑","寅","卯","辰","巳","午","未","申","酉","戌")))</f>
        <v>丁酉</v>
      </c>
      <c r="R1259" s="797">
        <f>MOD(Q1257,60)+1</f>
        <v>34</v>
      </c>
    </row>
    <row r="1260" spans="1:19" s="48" customFormat="1" ht="13.2" customHeight="1">
      <c r="A1260"/>
      <c r="B1260"/>
      <c r="C1260"/>
      <c r="D1260"/>
      <c r="E1260"/>
      <c r="F1260"/>
      <c r="G1260"/>
      <c r="H1260"/>
      <c r="I1260" s="625"/>
      <c r="J1260" s="797"/>
      <c r="K1260" s="625"/>
      <c r="L1260" s="797"/>
      <c r="M1260" s="625"/>
      <c r="N1260" s="797"/>
      <c r="O1260" s="625"/>
      <c r="P1260" s="797"/>
      <c r="Q1260" s="625"/>
      <c r="R1260" s="797"/>
    </row>
    <row r="1261" spans="1:19" s="48" customFormat="1" ht="13.2" customHeight="1">
      <c r="A1261" s="688">
        <f>A1250+1</f>
        <v>164</v>
      </c>
      <c r="B1261" s="600" t="s">
        <v>970</v>
      </c>
      <c r="C1261"/>
      <c r="D1261"/>
      <c r="E1261"/>
      <c r="F1261"/>
      <c r="G1261"/>
      <c r="H1261"/>
      <c r="I1261" s="767">
        <f>J1257*木周率</f>
        <v>0</v>
      </c>
      <c r="J1261" s="769"/>
      <c r="K1261" s="767">
        <f>L1257*火周率</f>
        <v>0</v>
      </c>
      <c r="L1261" s="769"/>
      <c r="M1261" s="767">
        <f>N1257*土周率</f>
        <v>0</v>
      </c>
      <c r="N1261" s="769"/>
      <c r="O1261" s="767">
        <f>P1257*金周率</f>
        <v>0</v>
      </c>
      <c r="P1261" s="769"/>
      <c r="Q1261" s="767">
        <f>R1257*水周率</f>
        <v>0</v>
      </c>
      <c r="R1261" s="769"/>
    </row>
    <row r="1262" spans="1:19" s="48" customFormat="1">
      <c r="A1262"/>
      <c r="B1262" s="600"/>
      <c r="C1262"/>
      <c r="D1262"/>
      <c r="E1262"/>
      <c r="F1262"/>
      <c r="G1262"/>
      <c r="H1262"/>
      <c r="I1262" s="767"/>
      <c r="J1262" s="769"/>
      <c r="K1262" s="74"/>
      <c r="L1262" s="74"/>
      <c r="M1262" s="792"/>
      <c r="N1262" s="793"/>
      <c r="O1262" s="74"/>
      <c r="P1262" s="793"/>
      <c r="Q1262" s="74"/>
      <c r="R1262" s="793"/>
    </row>
    <row r="1263" spans="1:19" s="48" customFormat="1" ht="68.400000000000006" customHeight="1">
      <c r="A1263"/>
      <c r="B1263" s="871" t="s">
        <v>983</v>
      </c>
      <c r="C1263" s="871"/>
      <c r="D1263" s="871"/>
      <c r="E1263" s="871"/>
      <c r="F1263" s="871"/>
      <c r="G1263" s="871"/>
      <c r="H1263" s="872"/>
      <c r="I1263" s="785"/>
      <c r="J1263" s="784"/>
      <c r="K1263" s="782"/>
      <c r="L1263" s="791"/>
      <c r="M1263" s="782"/>
      <c r="N1263" s="791"/>
      <c r="O1263" s="782"/>
      <c r="P1263" s="787"/>
      <c r="Q1263" s="794"/>
      <c r="R1263" s="787"/>
    </row>
    <row r="1264" spans="1:19" s="48" customFormat="1">
      <c r="B1264" s="399"/>
      <c r="C1264" s="399"/>
      <c r="D1264" s="399"/>
      <c r="E1264" s="399"/>
      <c r="F1264" s="399"/>
      <c r="G1264" s="399"/>
      <c r="H1264" s="399"/>
      <c r="I1264" s="780"/>
      <c r="J1264" s="781"/>
      <c r="K1264" s="782"/>
      <c r="L1264" s="787"/>
      <c r="M1264" s="782"/>
      <c r="N1264" s="787"/>
      <c r="O1264" s="782"/>
      <c r="P1264" s="787"/>
      <c r="Q1264" s="782"/>
      <c r="R1264" s="787"/>
    </row>
    <row r="1265" spans="1:19" s="48" customFormat="1">
      <c r="B1265" s="786" t="s">
        <v>913</v>
      </c>
      <c r="C1265" s="766"/>
      <c r="D1265" s="766"/>
      <c r="E1265" s="766"/>
      <c r="F1265" s="766"/>
      <c r="G1265" s="766"/>
      <c r="H1265" s="766"/>
      <c r="I1265" s="782"/>
      <c r="J1265" s="781"/>
      <c r="K1265" s="782"/>
      <c r="L1265" s="787"/>
      <c r="M1265" s="782"/>
      <c r="N1265" s="787"/>
      <c r="O1265" s="782"/>
      <c r="P1265" s="787"/>
      <c r="Q1265" s="782"/>
      <c r="R1265" s="787"/>
    </row>
    <row r="1266" spans="1:19" s="10" customFormat="1" ht="12.75" customHeight="1">
      <c r="A1266" s="688"/>
      <c r="B1266" s="766" t="s">
        <v>984</v>
      </c>
      <c r="C1266" s="766"/>
      <c r="D1266" s="766"/>
      <c r="E1266" s="766"/>
      <c r="F1266" s="766"/>
      <c r="G1266" s="766"/>
      <c r="H1266" s="766"/>
      <c r="I1266" s="782">
        <f>I1251</f>
        <v>9412</v>
      </c>
      <c r="J1266" s="787"/>
      <c r="K1266" s="782">
        <f>K1251</f>
        <v>9412</v>
      </c>
      <c r="L1266" s="787"/>
      <c r="M1266" s="782">
        <f>M1251</f>
        <v>9412</v>
      </c>
      <c r="N1266" s="787"/>
      <c r="O1266" s="782">
        <f>O1251</f>
        <v>9412</v>
      </c>
      <c r="P1266" s="787"/>
      <c r="Q1266" s="782">
        <f>Q1251</f>
        <v>9412</v>
      </c>
      <c r="R1266" s="787"/>
    </row>
    <row r="1267" spans="1:19" s="716" customFormat="1" ht="12.75" customHeight="1">
      <c r="A1267" s="715"/>
      <c r="B1267" s="766" t="s">
        <v>915</v>
      </c>
      <c r="C1267" s="766"/>
      <c r="D1267" s="766"/>
      <c r="E1267" s="766"/>
      <c r="F1267" s="766"/>
      <c r="G1267" s="766"/>
      <c r="H1267" s="766"/>
      <c r="I1267" s="782">
        <f>INT(I1266*木周率)</f>
        <v>40725724</v>
      </c>
      <c r="J1267" s="787"/>
      <c r="K1267" s="782">
        <f>INT(K1266*火周率)</f>
        <v>8273148</v>
      </c>
      <c r="L1267" s="787"/>
      <c r="M1267" s="782">
        <f>INT(M1266*土周率)</f>
        <v>85611552</v>
      </c>
      <c r="N1267" s="787"/>
      <c r="O1267" s="782">
        <f>INT(O1266*金周率)</f>
        <v>54871960</v>
      </c>
      <c r="P1267" s="787"/>
      <c r="Q1267" s="782">
        <f>INT(Q1266*水周率)</f>
        <v>112078096</v>
      </c>
      <c r="R1267" s="787"/>
      <c r="S1267" s="720"/>
    </row>
    <row r="1268" spans="1:19" s="716" customFormat="1" ht="12.75" customHeight="1">
      <c r="A1268" s="715"/>
      <c r="B1268" s="766" t="s">
        <v>916</v>
      </c>
      <c r="C1268" s="766"/>
      <c r="D1268" s="766"/>
      <c r="E1268" s="766"/>
      <c r="F1268" s="766"/>
      <c r="G1268" s="766"/>
      <c r="H1268" s="766"/>
      <c r="I1268" s="782">
        <f>INT(I1267/木日率)</f>
        <v>8619</v>
      </c>
      <c r="J1268" s="781">
        <f>MOD(I1267,木日率)</f>
        <v>949</v>
      </c>
      <c r="K1268" s="782">
        <f>INT(K1267/火日率)</f>
        <v>4409</v>
      </c>
      <c r="L1268" s="781">
        <f>MOD(K1267,火日率)</f>
        <v>1864</v>
      </c>
      <c r="M1268" s="782">
        <f>INT(M1267/土日率)</f>
        <v>9093</v>
      </c>
      <c r="N1268" s="781">
        <f>MOD(M1267,土日率)</f>
        <v>957</v>
      </c>
      <c r="O1268" s="782">
        <f>INT(O1267/金日率)</f>
        <v>11772</v>
      </c>
      <c r="P1268" s="781">
        <f>MOD(O1267,金日率)</f>
        <v>2668</v>
      </c>
      <c r="Q1268" s="782">
        <f>INT(Q1267/水日率)</f>
        <v>59331</v>
      </c>
      <c r="R1268" s="781">
        <f>MOD(Q1267,水日率)</f>
        <v>1837</v>
      </c>
      <c r="S1268" s="720"/>
    </row>
    <row r="1269" spans="1:19" s="716" customFormat="1" ht="14.25" customHeight="1">
      <c r="A1269" s="726"/>
      <c r="B1269" s="766" t="s">
        <v>919</v>
      </c>
      <c r="C1269" s="766"/>
      <c r="D1269" s="766"/>
      <c r="E1269" s="766"/>
      <c r="F1269" s="766"/>
      <c r="G1269" s="766"/>
      <c r="H1269" s="766"/>
      <c r="I1269" s="782">
        <f>INT(J1268/木周率)*-1</f>
        <v>0</v>
      </c>
      <c r="J1269" s="787"/>
      <c r="K1269" s="782">
        <f>INT(L1268/火周率)*-1</f>
        <v>-2</v>
      </c>
      <c r="L1269" s="787"/>
      <c r="M1269" s="782">
        <f>INT(N1268/土周率)*-1</f>
        <v>0</v>
      </c>
      <c r="N1269" s="787"/>
      <c r="O1269" s="782">
        <f>INT(P1268/金周率)*-1</f>
        <v>0</v>
      </c>
      <c r="P1269" s="787"/>
      <c r="Q1269" s="782">
        <f>INT(R1268/水周率)*-1</f>
        <v>0</v>
      </c>
      <c r="R1269" s="787"/>
      <c r="S1269" s="720"/>
    </row>
    <row r="1270" spans="1:19" s="716" customFormat="1" ht="12.75" customHeight="1">
      <c r="A1270" s="726"/>
      <c r="B1270" s="766" t="s">
        <v>918</v>
      </c>
      <c r="C1270" s="766"/>
      <c r="D1270" s="766"/>
      <c r="E1270" s="766"/>
      <c r="F1270" s="766"/>
      <c r="G1270" s="766"/>
      <c r="H1270" s="766"/>
      <c r="I1270" s="782" t="str">
        <f>""</f>
        <v/>
      </c>
      <c r="J1270" s="787"/>
      <c r="K1270" s="782"/>
      <c r="L1270" s="787"/>
      <c r="M1270" s="782"/>
      <c r="N1270" s="787"/>
      <c r="O1270" s="782" t="str">
        <f>IF(ODD(O1267)=O1267,"morning","evening")</f>
        <v>evening</v>
      </c>
      <c r="P1270" s="787"/>
      <c r="Q1270" s="782" t="str">
        <f>IF(ODD(Q1267)=Q1267,"morning","evening")</f>
        <v>evening</v>
      </c>
      <c r="R1270" s="787"/>
      <c r="S1270" s="720"/>
    </row>
    <row r="1271" spans="1:19" s="716" customFormat="1" ht="12.75" customHeight="1">
      <c r="A1271" s="726"/>
      <c r="B1271" s="766" t="s">
        <v>917</v>
      </c>
      <c r="C1271" s="766"/>
      <c r="D1271" s="766"/>
      <c r="E1271" s="766"/>
      <c r="F1271" s="766"/>
      <c r="G1271" s="766"/>
      <c r="H1271" s="766"/>
      <c r="I1271" s="782">
        <f>木周率-MOD(J1268,木周率)</f>
        <v>3378</v>
      </c>
      <c r="J1271" s="787"/>
      <c r="K1271" s="782">
        <f>火周率-MOD(L1268,火周率)</f>
        <v>773</v>
      </c>
      <c r="L1271" s="787"/>
      <c r="M1271" s="782">
        <f>土周率-MOD(N1268,土周率)</f>
        <v>8139</v>
      </c>
      <c r="N1271" s="787"/>
      <c r="O1271" s="782">
        <f>金周率-MOD(P1268,金周率)</f>
        <v>3162</v>
      </c>
      <c r="P1271" s="787"/>
      <c r="Q1271" s="782">
        <f>水周率-MOD(R1268,水周率)</f>
        <v>10071</v>
      </c>
      <c r="R1271" s="787"/>
      <c r="S1271" s="720"/>
    </row>
    <row r="1272" spans="1:19" s="48" customFormat="1">
      <c r="B1272" s="399"/>
      <c r="C1272" s="399"/>
      <c r="D1272" s="399"/>
      <c r="E1272" s="399"/>
      <c r="F1272" s="399"/>
      <c r="G1272" s="399"/>
      <c r="H1272" s="399"/>
      <c r="I1272" s="782"/>
      <c r="J1272" s="781"/>
      <c r="K1272" s="782"/>
      <c r="L1272" s="781"/>
      <c r="M1272" s="782"/>
      <c r="N1272" s="781"/>
      <c r="O1272" s="782"/>
      <c r="P1272" s="781"/>
      <c r="Q1272" s="782"/>
      <c r="R1272" s="781"/>
    </row>
    <row r="1273" spans="1:19" s="48" customFormat="1">
      <c r="A1273"/>
      <c r="B1273" s="779" t="s">
        <v>952</v>
      </c>
      <c r="C1273" s="399"/>
      <c r="D1273" s="399"/>
      <c r="E1273" s="399"/>
      <c r="F1273" s="399"/>
      <c r="G1273" s="399"/>
      <c r="H1273" s="399"/>
      <c r="I1273" s="782"/>
      <c r="J1273" s="781"/>
      <c r="K1273" s="782"/>
      <c r="L1273" s="781"/>
      <c r="M1273" s="782"/>
      <c r="N1273" s="781"/>
      <c r="O1273" s="782"/>
      <c r="P1273" s="781"/>
      <c r="Q1273" s="782"/>
      <c r="R1273" s="781"/>
    </row>
    <row r="1274" spans="1:19" s="12" customFormat="1" ht="12.75" customHeight="1">
      <c r="A1274" s="688"/>
      <c r="B1274" s="766" t="s">
        <v>954</v>
      </c>
      <c r="C1274" s="766"/>
      <c r="D1274" s="766"/>
      <c r="E1274" s="766"/>
      <c r="F1274" s="766"/>
      <c r="G1274" s="766"/>
      <c r="H1274" s="766"/>
      <c r="I1274" s="782">
        <f>周天*I1271</f>
        <v>4935258</v>
      </c>
      <c r="J1274" s="781"/>
      <c r="K1274" s="782">
        <f>周天*K1271</f>
        <v>1129353</v>
      </c>
      <c r="L1274" s="781"/>
      <c r="M1274" s="782">
        <f>周天*M1271</f>
        <v>11891079</v>
      </c>
      <c r="N1274" s="781"/>
      <c r="O1274" s="782">
        <f>周天*O1271</f>
        <v>4619682</v>
      </c>
      <c r="P1274" s="781"/>
      <c r="Q1274" s="782">
        <f>周天*Q1271</f>
        <v>14713731</v>
      </c>
      <c r="R1274" s="781"/>
      <c r="S1274" s="103"/>
    </row>
    <row r="1275" spans="1:19" s="12" customFormat="1" ht="13.5" customHeight="1">
      <c r="A1275"/>
      <c r="B1275" s="766" t="s">
        <v>955</v>
      </c>
      <c r="C1275" s="766"/>
      <c r="D1275" s="766"/>
      <c r="E1275" s="766"/>
      <c r="F1275" s="766"/>
      <c r="G1275" s="766"/>
      <c r="H1275" s="766"/>
      <c r="I1275" s="782">
        <f>INT(I1274/木日度法)</f>
        <v>285</v>
      </c>
      <c r="J1275" s="781">
        <f>MOD(I1274,木日度法)</f>
        <v>2478</v>
      </c>
      <c r="K1275" s="782">
        <f>INT(K1274/火日度法)</f>
        <v>321</v>
      </c>
      <c r="L1275" s="781">
        <f>MOD(K1274,火日度法)</f>
        <v>717</v>
      </c>
      <c r="M1275" s="782">
        <f>INT(M1274/土日度法)</f>
        <v>326</v>
      </c>
      <c r="N1275" s="781">
        <f>MOD(M1274,土日度法)</f>
        <v>29895</v>
      </c>
      <c r="O1275" s="782">
        <f>INT(O1274/金日度法)</f>
        <v>198</v>
      </c>
      <c r="P1275" s="781">
        <f>MOD(O1274,金日度法)</f>
        <v>2322</v>
      </c>
      <c r="Q1275" s="782">
        <f>INT(Q1274/水日度法)</f>
        <v>308</v>
      </c>
      <c r="R1275" s="781">
        <f>MOD(Q1274,水日度法)</f>
        <v>43075</v>
      </c>
      <c r="S1275" s="103"/>
    </row>
    <row r="1276" spans="1:19">
      <c r="I1276" s="783"/>
      <c r="J1276" s="769"/>
      <c r="K1276" s="767"/>
      <c r="L1276" s="769"/>
      <c r="M1276" s="767"/>
      <c r="N1276" s="769"/>
      <c r="O1276" s="767"/>
      <c r="P1276" s="769"/>
      <c r="Q1276" s="767"/>
      <c r="R1276" s="769"/>
    </row>
    <row r="1277" spans="1:19" s="48" customFormat="1">
      <c r="A1277"/>
      <c r="B1277" s="600" t="s">
        <v>971</v>
      </c>
      <c r="C1277"/>
      <c r="D1277"/>
      <c r="E1277"/>
      <c r="F1277"/>
      <c r="G1277"/>
      <c r="H1277"/>
      <c r="I1277" s="767">
        <f>I1261+J1275</f>
        <v>2478</v>
      </c>
      <c r="J1277" s="769"/>
      <c r="K1277" s="767">
        <f>K1261+L1275</f>
        <v>717</v>
      </c>
      <c r="L1277" s="769"/>
      <c r="M1277" s="767">
        <f>M1261+N1275</f>
        <v>29895</v>
      </c>
      <c r="N1277" s="769"/>
      <c r="O1277" s="767">
        <f>O1261+P1275</f>
        <v>2322</v>
      </c>
      <c r="P1277" s="769"/>
      <c r="Q1277" s="767">
        <f>Q1261+R1275</f>
        <v>43075</v>
      </c>
      <c r="R1277" s="769"/>
    </row>
    <row r="1278" spans="1:19" s="48" customFormat="1">
      <c r="A1278"/>
      <c r="B1278" s="600"/>
      <c r="C1278"/>
      <c r="D1278"/>
      <c r="E1278"/>
      <c r="F1278"/>
      <c r="G1278"/>
      <c r="H1278"/>
      <c r="I1278" s="767"/>
      <c r="J1278" s="769"/>
      <c r="K1278" s="767"/>
      <c r="L1278" s="769"/>
      <c r="M1278" s="767"/>
      <c r="N1278" s="769"/>
      <c r="O1278" s="767"/>
      <c r="P1278" s="769"/>
      <c r="Q1278" s="767"/>
      <c r="R1278" s="769"/>
    </row>
    <row r="1279" spans="1:19" s="48" customFormat="1" ht="41.4" customHeight="1">
      <c r="A1279"/>
      <c r="B1279" s="871" t="s">
        <v>976</v>
      </c>
      <c r="C1279" s="871"/>
      <c r="D1279" s="871"/>
      <c r="E1279" s="871"/>
      <c r="F1279" s="871"/>
      <c r="G1279" s="871"/>
      <c r="H1279" s="872"/>
      <c r="I1279" s="782"/>
      <c r="J1279" s="781"/>
      <c r="K1279" s="782"/>
      <c r="L1279" s="781"/>
      <c r="M1279" s="782"/>
      <c r="N1279" s="781"/>
      <c r="O1279" s="782"/>
      <c r="P1279" s="781"/>
      <c r="Q1279" s="782"/>
      <c r="R1279" s="781"/>
    </row>
    <row r="1280" spans="1:19" s="48" customFormat="1" ht="13.2" customHeight="1" thickBot="1">
      <c r="A1280"/>
      <c r="B1280" s="707"/>
      <c r="C1280" s="708"/>
      <c r="D1280" s="708"/>
      <c r="E1280" s="707"/>
      <c r="F1280" s="707"/>
      <c r="G1280" s="707"/>
      <c r="H1280" s="788"/>
      <c r="I1280" s="782"/>
      <c r="J1280" s="781"/>
      <c r="K1280" s="782"/>
      <c r="L1280" s="781"/>
      <c r="M1280" s="782"/>
      <c r="N1280" s="781"/>
      <c r="O1280" s="782"/>
      <c r="P1280" s="781"/>
      <c r="Q1280" s="782"/>
      <c r="R1280" s="781"/>
    </row>
    <row r="1281" spans="1:19" s="48" customFormat="1" ht="14.4" customHeight="1" thickBot="1">
      <c r="A1281"/>
      <c r="B1281" s="707"/>
      <c r="C1281" s="459" t="s">
        <v>616</v>
      </c>
      <c r="D1281" s="460" t="s">
        <v>977</v>
      </c>
      <c r="E1281" s="707"/>
      <c r="F1281" s="707"/>
      <c r="G1281" s="707"/>
      <c r="H1281" s="788"/>
      <c r="I1281" s="782"/>
      <c r="J1281" s="781"/>
      <c r="K1281" s="782"/>
      <c r="L1281" s="781"/>
      <c r="M1281" s="782"/>
      <c r="N1281" s="781"/>
      <c r="O1281" s="782"/>
      <c r="P1281" s="781"/>
      <c r="Q1281" s="782"/>
      <c r="R1281" s="781"/>
    </row>
    <row r="1282" spans="1:19" s="48" customFormat="1" ht="14.4" customHeight="1">
      <c r="A1282"/>
      <c r="B1282" s="707"/>
      <c r="C1282" s="708"/>
      <c r="D1282" s="708"/>
      <c r="E1282" s="707"/>
      <c r="F1282" s="707"/>
      <c r="G1282" s="707"/>
      <c r="H1282" s="788"/>
      <c r="I1282" s="782"/>
      <c r="J1282" s="781"/>
      <c r="K1282" s="782"/>
      <c r="L1282" s="781"/>
      <c r="M1282" s="782"/>
      <c r="N1282" s="781"/>
      <c r="O1282" s="782"/>
      <c r="P1282" s="781"/>
      <c r="Q1282" s="782"/>
      <c r="R1282" s="781"/>
    </row>
    <row r="1283" spans="1:19" s="48" customFormat="1" ht="14.4" customHeight="1">
      <c r="A1283"/>
      <c r="B1283" s="399" t="s">
        <v>1040</v>
      </c>
      <c r="C1283" s="838"/>
      <c r="D1283" s="838"/>
      <c r="E1283" s="834"/>
      <c r="F1283" s="834"/>
      <c r="G1283" s="834"/>
      <c r="H1283" s="835"/>
      <c r="I1283" s="782"/>
      <c r="J1283" s="781"/>
      <c r="K1283" s="782"/>
      <c r="L1283" s="781"/>
      <c r="M1283" s="782"/>
      <c r="N1283" s="781"/>
      <c r="O1283" s="782"/>
      <c r="P1283" s="781"/>
      <c r="Q1283" s="782"/>
      <c r="R1283" s="781"/>
    </row>
    <row r="1284" spans="1:19" s="48" customFormat="1">
      <c r="A1284"/>
      <c r="B1284" s="600"/>
      <c r="C1284"/>
      <c r="D1284"/>
      <c r="E1284"/>
      <c r="F1284"/>
      <c r="G1284"/>
      <c r="H1284"/>
      <c r="I1284" s="767"/>
      <c r="J1284" s="769"/>
      <c r="K1284" s="767"/>
      <c r="L1284" s="769"/>
      <c r="M1284" s="767"/>
      <c r="N1284" s="769"/>
      <c r="O1284" s="767"/>
      <c r="P1284" s="769"/>
      <c r="Q1284" s="767"/>
      <c r="R1284" s="769"/>
    </row>
    <row r="1285" spans="1:19" s="48" customFormat="1" ht="13.2" customHeight="1">
      <c r="B1285" s="600" t="s">
        <v>973</v>
      </c>
      <c r="C1285"/>
      <c r="D1285"/>
      <c r="E1285"/>
      <c r="F1285"/>
      <c r="G1285"/>
      <c r="H1285"/>
      <c r="I1285" s="767">
        <f>INT(I1277/木日度法)+IF($D$1281="Liu Hongtao",I1275)</f>
        <v>285</v>
      </c>
      <c r="J1285" s="769">
        <f>MOD(I1277,木日度法)</f>
        <v>2478</v>
      </c>
      <c r="K1285" s="767">
        <f>INT(K1277/火日度法)+IF($D$1281="Liu Hongtao",K1275)</f>
        <v>321</v>
      </c>
      <c r="L1285" s="769">
        <f>MOD(K1277,火日度法)</f>
        <v>717</v>
      </c>
      <c r="M1285" s="767">
        <f>INT(M1277/土日度法)+IF($D$1281="Liu Hongtao",M1275)</f>
        <v>326</v>
      </c>
      <c r="N1285" s="769">
        <f>MOD(M1277,土日度法)</f>
        <v>29895</v>
      </c>
      <c r="O1285" s="767">
        <f>INT(O1277/金日度法)+IF($D$1281="Liu Hongtao",O1275)</f>
        <v>198</v>
      </c>
      <c r="P1285" s="769">
        <f>MOD(O1277,金日度法)</f>
        <v>2322</v>
      </c>
      <c r="Q1285" s="767">
        <f>INT(Q1277/水日度法)+IF($D$1281="Liu Hongtao",Q1275)</f>
        <v>308</v>
      </c>
      <c r="R1285" s="769">
        <f>MOD(Q1277,水日度法)</f>
        <v>43075</v>
      </c>
    </row>
    <row r="1286" spans="1:19" s="48" customFormat="1" ht="13.2" customHeight="1">
      <c r="B1286" s="600"/>
      <c r="C1286"/>
      <c r="D1286"/>
      <c r="E1286"/>
      <c r="F1286"/>
      <c r="G1286"/>
      <c r="H1286"/>
      <c r="I1286" s="767"/>
      <c r="J1286" s="769"/>
      <c r="K1286" s="767"/>
      <c r="L1286" s="769"/>
      <c r="M1286" s="767"/>
      <c r="N1286" s="769"/>
      <c r="O1286" s="767"/>
      <c r="P1286" s="769"/>
      <c r="Q1286" s="767"/>
      <c r="R1286" s="769"/>
    </row>
    <row r="1287" spans="1:19" s="48" customFormat="1">
      <c r="A1287"/>
      <c r="B1287" t="s">
        <v>972</v>
      </c>
      <c r="C1287"/>
      <c r="D1287"/>
      <c r="E1287"/>
      <c r="F1287"/>
      <c r="G1287"/>
      <c r="H1287"/>
      <c r="I1287" s="789" t="str">
        <f>CONCATENATE(CHOOSE(MOD(J1287,10)+1,"癸","甲","乙","丙","丁","戊","己","庚","辛","壬"),(CHOOSE(MOD(J1287,12)+1,"亥","子","丑","寅","卯","辰","巳","午","未","申","酉","戌")))</f>
        <v>壬午</v>
      </c>
      <c r="J1287" s="769">
        <f>MOD(I1285+J1259-1,60)+1</f>
        <v>19</v>
      </c>
      <c r="K1287" s="789" t="str">
        <f t="shared" ref="K1287" si="169">CONCATENATE(CHOOSE(MOD(L1287,10)+1,"癸","甲","乙","丙","丁","戊","己","庚","辛","壬"),(CHOOSE(MOD(L1287,12)+1,"亥","子","丑","寅","卯","辰","巳","午","未","申","酉","戌")))</f>
        <v>戊午</v>
      </c>
      <c r="L1287" s="769">
        <f>MOD(K1285+L1259-1,60)+1</f>
        <v>55</v>
      </c>
      <c r="M1287" s="789" t="str">
        <f t="shared" ref="M1287" si="170">CONCATENATE(CHOOSE(MOD(N1287,10)+1,"癸","甲","乙","丙","丁","戊","己","庚","辛","壬"),(CHOOSE(MOD(N1287,12)+1,"亥","子","丑","寅","卯","辰","巳","午","未","申","酉","戌")))</f>
        <v>癸亥</v>
      </c>
      <c r="N1287" s="769">
        <f>MOD(M1285+N1259-1,60)+1</f>
        <v>60</v>
      </c>
      <c r="O1287" s="789" t="str">
        <f t="shared" ref="O1287" si="171">CONCATENATE(CHOOSE(MOD(P1287,10)+1,"癸","甲","乙","丙","丁","戊","己","庚","辛","壬"),(CHOOSE(MOD(P1287,12)+1,"亥","子","丑","寅","卯","辰","巳","午","未","申","酉","戌")))</f>
        <v>乙卯</v>
      </c>
      <c r="P1287" s="769">
        <f>MOD(O1285+P1259-1,60)+1</f>
        <v>52</v>
      </c>
      <c r="Q1287" s="789" t="str">
        <f t="shared" ref="Q1287" si="172">CONCATENATE(CHOOSE(MOD(R1287,10)+1,"癸","甲","乙","丙","丁","戊","己","庚","辛","壬"),(CHOOSE(MOD(R1287,12)+1,"亥","子","丑","寅","卯","辰","巳","午","未","申","酉","戌")))</f>
        <v>乙巳</v>
      </c>
      <c r="R1287" s="769">
        <f>MOD(Q1285+R1259-1,60)+1</f>
        <v>42</v>
      </c>
    </row>
    <row r="1288" spans="1:19" s="48" customFormat="1">
      <c r="A1288"/>
      <c r="B1288"/>
      <c r="C1288"/>
      <c r="D1288"/>
      <c r="E1288"/>
      <c r="F1288"/>
      <c r="G1288"/>
      <c r="H1288"/>
      <c r="I1288" s="789"/>
      <c r="J1288" s="769"/>
      <c r="K1288" s="789"/>
      <c r="L1288" s="769"/>
      <c r="M1288" s="789"/>
      <c r="N1288" s="769"/>
      <c r="O1288" s="789"/>
      <c r="P1288" s="769"/>
      <c r="Q1288" s="789"/>
      <c r="R1288" s="769"/>
    </row>
    <row r="1289" spans="1:19" s="48" customFormat="1" ht="28.95" customHeight="1">
      <c r="A1289"/>
      <c r="B1289" s="871" t="s">
        <v>988</v>
      </c>
      <c r="C1289" s="871"/>
      <c r="D1289" s="871"/>
      <c r="E1289" s="871"/>
      <c r="F1289" s="871"/>
      <c r="G1289" s="871"/>
      <c r="H1289" s="872"/>
      <c r="I1289" s="782"/>
      <c r="J1289" s="787"/>
      <c r="K1289" s="782"/>
      <c r="L1289" s="787"/>
      <c r="M1289" s="782"/>
      <c r="N1289" s="787"/>
      <c r="O1289" s="782"/>
      <c r="P1289" s="787"/>
      <c r="Q1289" s="782"/>
      <c r="R1289" s="787"/>
    </row>
    <row r="1290" spans="1:19" s="716" customFormat="1" ht="12.6" customHeight="1">
      <c r="A1290" s="715"/>
      <c r="B1290" s="786" t="s">
        <v>920</v>
      </c>
      <c r="C1290" s="766"/>
      <c r="D1290" s="766"/>
      <c r="E1290" s="766"/>
      <c r="F1290" s="766"/>
      <c r="G1290" s="766"/>
      <c r="H1290" s="766"/>
      <c r="I1290" s="782"/>
      <c r="J1290" s="787"/>
      <c r="K1290" s="782"/>
      <c r="L1290" s="787"/>
      <c r="M1290" s="782"/>
      <c r="N1290" s="787"/>
      <c r="O1290" s="782"/>
      <c r="P1290" s="787"/>
      <c r="Q1290" s="782"/>
      <c r="R1290" s="787"/>
      <c r="S1290" s="720"/>
    </row>
    <row r="1291" spans="1:19" s="716" customFormat="1" ht="12.6" customHeight="1">
      <c r="A1291" s="715"/>
      <c r="B1291" s="766" t="s">
        <v>922</v>
      </c>
      <c r="C1291" s="766"/>
      <c r="D1291" s="766"/>
      <c r="E1291" s="766"/>
      <c r="F1291" s="766"/>
      <c r="G1291" s="766"/>
      <c r="H1291" s="766"/>
      <c r="I1291" s="782">
        <f>I1268*木合積月</f>
        <v>112047</v>
      </c>
      <c r="J1291" s="781"/>
      <c r="K1291" s="782">
        <f>K1268*火合積月</f>
        <v>114634</v>
      </c>
      <c r="L1291" s="781"/>
      <c r="M1291" s="782">
        <f>M1268*土合積月</f>
        <v>109116</v>
      </c>
      <c r="N1291" s="781"/>
      <c r="O1291" s="782">
        <f>O1268*金合積月</f>
        <v>105948</v>
      </c>
      <c r="P1291" s="781"/>
      <c r="Q1291" s="782">
        <f>Q1268*水合積月</f>
        <v>59331</v>
      </c>
      <c r="R1291" s="781"/>
      <c r="S1291" s="720"/>
    </row>
    <row r="1292" spans="1:19" s="716" customFormat="1" ht="12.6" customHeight="1">
      <c r="A1292" s="715"/>
      <c r="B1292" s="766" t="s">
        <v>923</v>
      </c>
      <c r="C1292" s="766"/>
      <c r="D1292" s="766"/>
      <c r="E1292" s="766"/>
      <c r="F1292" s="766"/>
      <c r="G1292" s="766"/>
      <c r="H1292" s="766"/>
      <c r="I1292" s="782">
        <f>I1268*木月餘</f>
        <v>358602114</v>
      </c>
      <c r="J1292" s="781"/>
      <c r="K1292" s="782">
        <f>K1268*火月餘</f>
        <v>29249306</v>
      </c>
      <c r="L1292" s="781"/>
      <c r="M1292" s="782">
        <f>M1268*土月餘</f>
        <v>1260626241</v>
      </c>
      <c r="N1292" s="781"/>
      <c r="O1292" s="782">
        <f>O1268*金月餘</f>
        <v>1158423660</v>
      </c>
      <c r="P1292" s="781"/>
      <c r="Q1292" s="782">
        <f>Q1268*水月餘</f>
        <v>12914163453</v>
      </c>
      <c r="R1292" s="781"/>
      <c r="S1292" s="720"/>
    </row>
    <row r="1293" spans="1:19" s="716" customFormat="1" ht="12.6" customHeight="1">
      <c r="A1293" s="715"/>
      <c r="B1293" s="766" t="s">
        <v>924</v>
      </c>
      <c r="C1293" s="766"/>
      <c r="D1293" s="766"/>
      <c r="E1293" s="766"/>
      <c r="F1293" s="766"/>
      <c r="G1293" s="766"/>
      <c r="H1293" s="766"/>
      <c r="I1293" s="782">
        <f>INT(I1292/木月法)</f>
        <v>4361</v>
      </c>
      <c r="J1293" s="781">
        <f>MOD(I1292,木月法)</f>
        <v>71221</v>
      </c>
      <c r="K1293" s="782">
        <f>INT(K1292/火月法)</f>
        <v>1751</v>
      </c>
      <c r="L1293" s="781">
        <f>MOD(K1292,火月法)</f>
        <v>5855</v>
      </c>
      <c r="M1293" s="782">
        <f>INT(M1292/土月法)</f>
        <v>7294</v>
      </c>
      <c r="N1293" s="781">
        <f>MOD(M1292,土月法)</f>
        <v>47985</v>
      </c>
      <c r="O1293" s="782">
        <f>INT(O1292/金月法)</f>
        <v>10457</v>
      </c>
      <c r="P1293" s="781">
        <f>MOD(O1292,金月法)</f>
        <v>101770</v>
      </c>
      <c r="Q1293" s="782">
        <f>INT(Q1292/水月法)</f>
        <v>57078</v>
      </c>
      <c r="R1293" s="781">
        <f>MOD(Q1292,水月法)</f>
        <v>151797</v>
      </c>
      <c r="S1293" s="720"/>
    </row>
    <row r="1294" spans="1:19" s="716" customFormat="1" ht="13.5" customHeight="1">
      <c r="A1294" s="715"/>
      <c r="B1294" s="766" t="s">
        <v>925</v>
      </c>
      <c r="C1294" s="766"/>
      <c r="D1294" s="766"/>
      <c r="E1294" s="766"/>
      <c r="F1294" s="766"/>
      <c r="G1294" s="766"/>
      <c r="H1294" s="766"/>
      <c r="I1294" s="782">
        <f>I1293+I1291</f>
        <v>116408</v>
      </c>
      <c r="J1294" s="781">
        <f>J1293</f>
        <v>71221</v>
      </c>
      <c r="K1294" s="782">
        <f>K1293+K1291</f>
        <v>116385</v>
      </c>
      <c r="L1294" s="781">
        <f>L1293</f>
        <v>5855</v>
      </c>
      <c r="M1294" s="782">
        <f>M1293+M1291</f>
        <v>116410</v>
      </c>
      <c r="N1294" s="781">
        <f>N1293</f>
        <v>47985</v>
      </c>
      <c r="O1294" s="782">
        <f>O1293+O1291</f>
        <v>116405</v>
      </c>
      <c r="P1294" s="781">
        <f>P1293</f>
        <v>101770</v>
      </c>
      <c r="Q1294" s="782">
        <f>Q1293+Q1291</f>
        <v>116409</v>
      </c>
      <c r="R1294" s="781">
        <f>R1293</f>
        <v>151797</v>
      </c>
      <c r="S1294" s="720"/>
    </row>
    <row r="1295" spans="1:19" s="716" customFormat="1" ht="12.6" customHeight="1">
      <c r="A1295" s="715"/>
      <c r="B1295" s="766"/>
      <c r="C1295" s="766"/>
      <c r="D1295" s="766"/>
      <c r="E1295" s="766"/>
      <c r="F1295" s="766"/>
      <c r="G1295" s="766"/>
      <c r="H1295" s="766"/>
      <c r="I1295" s="782"/>
      <c r="J1295" s="781"/>
      <c r="K1295" s="782"/>
      <c r="L1295" s="781"/>
      <c r="M1295" s="782"/>
      <c r="N1295" s="781"/>
      <c r="O1295" s="782"/>
      <c r="P1295" s="781"/>
      <c r="Q1295" s="782"/>
      <c r="R1295" s="781"/>
      <c r="S1295" s="720"/>
    </row>
    <row r="1296" spans="1:19" s="716" customFormat="1" ht="12.75" customHeight="1">
      <c r="A1296" s="715"/>
      <c r="B1296" s="766" t="s">
        <v>926</v>
      </c>
      <c r="C1296" s="766"/>
      <c r="D1296" s="766"/>
      <c r="E1296" s="766"/>
      <c r="F1296" s="766"/>
      <c r="G1296" s="766"/>
      <c r="H1296" s="766"/>
      <c r="I1296" s="782">
        <f>INT(I1294/紀月)</f>
        <v>6</v>
      </c>
      <c r="J1296" s="781">
        <f>MOD(I1294,紀月)</f>
        <v>3608</v>
      </c>
      <c r="K1296" s="782">
        <f>INT(K1294/紀月)</f>
        <v>6</v>
      </c>
      <c r="L1296" s="781">
        <f>MOD(K1294,紀月)</f>
        <v>3585</v>
      </c>
      <c r="M1296" s="782">
        <f>INT(M1294/紀月)</f>
        <v>6</v>
      </c>
      <c r="N1296" s="781">
        <f>MOD(M1294,紀月)</f>
        <v>3610</v>
      </c>
      <c r="O1296" s="782">
        <f>INT(O1294/紀月)</f>
        <v>6</v>
      </c>
      <c r="P1296" s="781">
        <f>MOD(O1294,紀月)</f>
        <v>3605</v>
      </c>
      <c r="Q1296" s="782">
        <f>INT(Q1294/紀月)</f>
        <v>6</v>
      </c>
      <c r="R1296" s="781">
        <f>MOD(Q1294,紀月)</f>
        <v>3609</v>
      </c>
      <c r="S1296" s="720"/>
    </row>
    <row r="1297" spans="1:19" s="716" customFormat="1" ht="12.6" customHeight="1">
      <c r="A1297" s="715"/>
      <c r="B1297" s="766" t="s">
        <v>927</v>
      </c>
      <c r="C1297" s="766"/>
      <c r="D1297" s="766"/>
      <c r="E1297" s="766"/>
      <c r="F1297" s="766"/>
      <c r="G1297" s="766"/>
      <c r="H1297" s="766"/>
      <c r="I1297" s="782">
        <f>J1296*章閏</f>
        <v>25256</v>
      </c>
      <c r="J1297" s="781"/>
      <c r="K1297" s="782">
        <f>L1296*章閏</f>
        <v>25095</v>
      </c>
      <c r="L1297" s="781"/>
      <c r="M1297" s="782">
        <f>N1296*章閏</f>
        <v>25270</v>
      </c>
      <c r="N1297" s="781"/>
      <c r="O1297" s="782">
        <f>P1296*章閏</f>
        <v>25235</v>
      </c>
      <c r="P1297" s="781"/>
      <c r="Q1297" s="782">
        <f>R1296*章閏</f>
        <v>25263</v>
      </c>
      <c r="R1297" s="781"/>
      <c r="S1297" s="720"/>
    </row>
    <row r="1298" spans="1:19" s="716" customFormat="1" ht="12.6" customHeight="1">
      <c r="A1298" s="715"/>
      <c r="B1298" s="766" t="s">
        <v>928</v>
      </c>
      <c r="C1298" s="766"/>
      <c r="D1298" s="766"/>
      <c r="E1298" s="766"/>
      <c r="F1298" s="766"/>
      <c r="G1298" s="766"/>
      <c r="H1298" s="766"/>
      <c r="I1298" s="782">
        <f>INT(I1297/章月)</f>
        <v>107</v>
      </c>
      <c r="J1298" s="781">
        <f>MOD(I1297,章月)</f>
        <v>111</v>
      </c>
      <c r="K1298" s="782">
        <f>INT(K1297/章月)</f>
        <v>106</v>
      </c>
      <c r="L1298" s="781">
        <f>MOD(K1297,章月)</f>
        <v>185</v>
      </c>
      <c r="M1298" s="782">
        <f>INT(M1297/章月)</f>
        <v>107</v>
      </c>
      <c r="N1298" s="781">
        <f>MOD(M1297,章月)</f>
        <v>125</v>
      </c>
      <c r="O1298" s="782">
        <f>INT(O1297/章月)</f>
        <v>107</v>
      </c>
      <c r="P1298" s="781">
        <f>MOD(O1297,章月)</f>
        <v>90</v>
      </c>
      <c r="Q1298" s="782">
        <f>INT(Q1297/章月)</f>
        <v>107</v>
      </c>
      <c r="R1298" s="781">
        <f>MOD(Q1297,章月)</f>
        <v>118</v>
      </c>
      <c r="S1298" s="720"/>
    </row>
    <row r="1299" spans="1:19" s="716" customFormat="1" ht="12.6" customHeight="1">
      <c r="A1299" s="715"/>
      <c r="B1299" s="766"/>
      <c r="C1299" s="766"/>
      <c r="D1299" s="766"/>
      <c r="E1299" s="766"/>
      <c r="F1299" s="766"/>
      <c r="G1299" s="766"/>
      <c r="H1299" s="766"/>
      <c r="I1299" s="782"/>
      <c r="J1299" s="781"/>
      <c r="K1299" s="782"/>
      <c r="L1299" s="781"/>
      <c r="M1299" s="782"/>
      <c r="N1299" s="781"/>
      <c r="O1299" s="782"/>
      <c r="P1299" s="781"/>
      <c r="Q1299" s="782"/>
      <c r="R1299" s="781"/>
      <c r="S1299" s="720"/>
    </row>
    <row r="1300" spans="1:19" s="716" customFormat="1" ht="12.6" customHeight="1">
      <c r="A1300" s="715"/>
      <c r="B1300" s="766" t="s">
        <v>929</v>
      </c>
      <c r="C1300" s="766"/>
      <c r="D1300" s="766"/>
      <c r="E1300" s="766"/>
      <c r="F1300" s="766"/>
      <c r="G1300" s="766"/>
      <c r="H1300" s="766"/>
      <c r="I1300" s="782">
        <f>J1296-I1298</f>
        <v>3501</v>
      </c>
      <c r="J1300" s="781"/>
      <c r="K1300" s="782">
        <f t="shared" ref="K1300" si="173">L1296-K1298</f>
        <v>3479</v>
      </c>
      <c r="L1300" s="781"/>
      <c r="M1300" s="782">
        <f t="shared" ref="M1300" si="174">N1296-M1298</f>
        <v>3503</v>
      </c>
      <c r="N1300" s="781"/>
      <c r="O1300" s="782">
        <f t="shared" ref="O1300" si="175">P1296-O1298</f>
        <v>3498</v>
      </c>
      <c r="P1300" s="781"/>
      <c r="Q1300" s="782">
        <f t="shared" ref="Q1300" si="176">R1296-Q1298</f>
        <v>3502</v>
      </c>
      <c r="R1300" s="781"/>
      <c r="S1300" s="720"/>
    </row>
    <row r="1301" spans="1:19" s="716" customFormat="1" ht="12.6" customHeight="1">
      <c r="A1301" s="715"/>
      <c r="B1301" s="766" t="s">
        <v>930</v>
      </c>
      <c r="C1301" s="766"/>
      <c r="D1301" s="766"/>
      <c r="E1301" s="766"/>
      <c r="F1301" s="766"/>
      <c r="G1301" s="766"/>
      <c r="H1301" s="766"/>
      <c r="I1301" s="782">
        <f>INT(I1300/12)</f>
        <v>291</v>
      </c>
      <c r="J1301" s="781">
        <f>MOD(I1300,12)</f>
        <v>9</v>
      </c>
      <c r="K1301" s="782">
        <f t="shared" ref="K1301" si="177">INT(K1300/12)</f>
        <v>289</v>
      </c>
      <c r="L1301" s="781">
        <f t="shared" ref="L1301" si="178">MOD(K1300,12)</f>
        <v>11</v>
      </c>
      <c r="M1301" s="782">
        <f t="shared" ref="M1301" si="179">INT(M1300/12)</f>
        <v>291</v>
      </c>
      <c r="N1301" s="781">
        <f t="shared" ref="N1301" si="180">MOD(M1300,12)</f>
        <v>11</v>
      </c>
      <c r="O1301" s="782">
        <f t="shared" ref="O1301" si="181">INT(O1300/12)</f>
        <v>291</v>
      </c>
      <c r="P1301" s="781">
        <f t="shared" ref="P1301" si="182">MOD(O1300,12)</f>
        <v>6</v>
      </c>
      <c r="Q1301" s="782">
        <f t="shared" ref="Q1301" si="183">INT(Q1300/12)</f>
        <v>291</v>
      </c>
      <c r="R1301" s="781">
        <f t="shared" ref="R1301" si="184">MOD(Q1300,12)</f>
        <v>10</v>
      </c>
      <c r="S1301" s="720"/>
    </row>
    <row r="1302" spans="1:19" s="716" customFormat="1" ht="12.6" customHeight="1">
      <c r="A1302" s="715"/>
      <c r="B1302" s="766" t="s">
        <v>931</v>
      </c>
      <c r="C1302" s="766"/>
      <c r="D1302" s="766"/>
      <c r="E1302" s="766"/>
      <c r="F1302" s="766"/>
      <c r="G1302" s="766"/>
      <c r="H1302" s="766"/>
      <c r="I1302" s="790">
        <f>I1269+I1250</f>
        <v>-1</v>
      </c>
      <c r="J1302" s="781">
        <f>MOD(J1301+10,12)+1</f>
        <v>8</v>
      </c>
      <c r="K1302" s="790">
        <f>K1269+K1250</f>
        <v>-3</v>
      </c>
      <c r="L1302" s="781">
        <f>MOD(L1301+10,12)+1</f>
        <v>10</v>
      </c>
      <c r="M1302" s="790">
        <f>M1269+M1250</f>
        <v>-1</v>
      </c>
      <c r="N1302" s="781">
        <f>MOD(N1301+10,12)+1</f>
        <v>10</v>
      </c>
      <c r="O1302" s="790">
        <f>O1269+O1250</f>
        <v>-1</v>
      </c>
      <c r="P1302" s="781">
        <f>MOD(P1301+10,12)+1</f>
        <v>5</v>
      </c>
      <c r="Q1302" s="790">
        <f>Q1269+Q1250</f>
        <v>-1</v>
      </c>
      <c r="R1302" s="781">
        <f>MOD(R1301+10,12)+1</f>
        <v>9</v>
      </c>
      <c r="S1302" s="720"/>
    </row>
    <row r="1303" spans="1:19" s="716" customFormat="1" ht="12.6" customHeight="1">
      <c r="A1303" s="715"/>
      <c r="B1303" s="766"/>
      <c r="C1303" s="766"/>
      <c r="D1303" s="766"/>
      <c r="E1303" s="766"/>
      <c r="F1303" s="766"/>
      <c r="G1303" s="766"/>
      <c r="H1303" s="766"/>
      <c r="I1303" s="782"/>
      <c r="J1303" s="787"/>
      <c r="K1303" s="782"/>
      <c r="L1303" s="787"/>
      <c r="M1303" s="782"/>
      <c r="N1303" s="787"/>
      <c r="O1303" s="782"/>
      <c r="P1303" s="787"/>
      <c r="Q1303" s="782"/>
      <c r="R1303" s="787"/>
      <c r="S1303" s="720"/>
    </row>
    <row r="1304" spans="1:19" s="716" customFormat="1" ht="12.6" customHeight="1">
      <c r="A1304" s="715"/>
      <c r="B1304" s="766" t="s">
        <v>974</v>
      </c>
      <c r="C1304" s="766"/>
      <c r="D1304" s="766"/>
      <c r="E1304" s="766"/>
      <c r="F1304" s="766"/>
      <c r="G1304" s="766"/>
      <c r="H1304" s="766"/>
      <c r="I1304" s="782" t="b">
        <f>AND(J1298&gt;223,J1298&lt;232)</f>
        <v>0</v>
      </c>
      <c r="J1304" s="787"/>
      <c r="K1304" s="782" t="b">
        <f>AND(L1298&gt;223,L1298&lt;232)</f>
        <v>0</v>
      </c>
      <c r="L1304" s="787"/>
      <c r="M1304" s="782" t="b">
        <f>AND(N1298&gt;223,N1298&lt;232)</f>
        <v>0</v>
      </c>
      <c r="N1304" s="787"/>
      <c r="O1304" s="782" t="b">
        <f>AND(P1298&gt;223,P1298&lt;232)</f>
        <v>0</v>
      </c>
      <c r="P1304" s="787"/>
      <c r="Q1304" s="782" t="b">
        <f>AND(R1298&gt;223,R1298&lt;232)</f>
        <v>0</v>
      </c>
      <c r="R1304" s="787"/>
      <c r="S1304" s="720"/>
    </row>
    <row r="1305" spans="1:19" s="716" customFormat="1" ht="12.75" customHeight="1">
      <c r="A1305" s="715"/>
      <c r="B1305" s="766"/>
      <c r="C1305" s="766"/>
      <c r="D1305" s="766"/>
      <c r="E1305" s="766"/>
      <c r="F1305" s="766"/>
      <c r="G1305" s="766"/>
      <c r="H1305" s="766"/>
      <c r="I1305" s="782" t="str">
        <f>IF(I1302=-3,"前前前年",IF(I1302=-2,"前前年",IF(I1302=-1,"前年","本年")))</f>
        <v>前年</v>
      </c>
      <c r="J1305" s="787" t="str">
        <f>CONCATENATE(IF(I1304=TRUE(),"閏",""),CHOOSE(J1302,"正","二","三","四","五","六","七","八","九","十","十一","十二"),"月")</f>
        <v>八月</v>
      </c>
      <c r="K1305" s="782" t="str">
        <f>IF(K1302=-3,"前前前年",IF(K1302=-2,"前前年",IF(K1302=-1,"前年","本年")))</f>
        <v>前前前年</v>
      </c>
      <c r="L1305" s="787" t="str">
        <f t="shared" ref="L1305" si="185">CONCATENATE(IF(K1304=TRUE(),"閏",""),CHOOSE(L1302,"正","二","三","四","五","六","七","八","九","十","十一","十二"),"月")</f>
        <v>十月</v>
      </c>
      <c r="M1305" s="782" t="str">
        <f>IF(M1302=-3,"前前前年",IF(M1302=-2,"前前年",IF(M1302=-1,"前年","本年")))</f>
        <v>前年</v>
      </c>
      <c r="N1305" s="787" t="str">
        <f t="shared" ref="N1305" si="186">CONCATENATE(IF(M1304=TRUE(),"閏",""),CHOOSE(N1302,"正","二","三","四","五","六","七","八","九","十","十一","十二"),"月")</f>
        <v>十月</v>
      </c>
      <c r="O1305" s="782" t="str">
        <f>IF(O1302=-3,"前前前年",IF(O1302=-2,"前前年",IF(O1302=-1,"前年","本年")))</f>
        <v>前年</v>
      </c>
      <c r="P1305" s="787" t="str">
        <f t="shared" ref="P1305" si="187">CONCATENATE(IF(O1304=TRUE(),"閏",""),CHOOSE(P1302,"正","二","三","四","五","六","七","八","九","十","十一","十二"),"月")</f>
        <v>五月</v>
      </c>
      <c r="Q1305" s="782" t="str">
        <f>IF(Q1302=-3,"前前前年",IF(Q1302=-2,"前前年",IF(Q1302=-1,"前年","本年")))</f>
        <v>前年</v>
      </c>
      <c r="R1305" s="787" t="str">
        <f t="shared" ref="R1305" si="188">CONCATENATE(IF(Q1304=TRUE(),"閏",""),CHOOSE(R1302,"正","二","三","四","五","六","七","八","九","十","十一","十二"),"月")</f>
        <v>九月</v>
      </c>
      <c r="S1305" s="720"/>
    </row>
    <row r="1306" spans="1:19" s="716" customFormat="1" ht="12.6" customHeight="1">
      <c r="A1306" s="715"/>
      <c r="B1306" s="766" t="s">
        <v>975</v>
      </c>
      <c r="C1306" s="766"/>
      <c r="D1306" s="766"/>
      <c r="E1306" s="766"/>
      <c r="F1306" s="766"/>
      <c r="G1306" s="766"/>
      <c r="H1306" s="766"/>
      <c r="I1306" s="782"/>
      <c r="J1306" s="787"/>
      <c r="K1306" s="782"/>
      <c r="L1306" s="787"/>
      <c r="M1306" s="782"/>
      <c r="N1306" s="787"/>
      <c r="O1306" s="782"/>
      <c r="P1306" s="787"/>
      <c r="Q1306" s="782"/>
      <c r="R1306" s="787"/>
      <c r="S1306" s="720"/>
    </row>
    <row r="1307" spans="1:19" s="716" customFormat="1" ht="12.6" customHeight="1">
      <c r="A1307" s="715"/>
      <c r="B1307" s="766"/>
      <c r="C1307" s="766"/>
      <c r="D1307" s="766"/>
      <c r="E1307" s="766"/>
      <c r="F1307" s="766"/>
      <c r="G1307" s="766"/>
      <c r="H1307" s="766"/>
      <c r="I1307" s="782"/>
      <c r="J1307" s="787"/>
      <c r="K1307" s="782"/>
      <c r="L1307" s="787"/>
      <c r="M1307" s="782"/>
      <c r="N1307" s="787"/>
      <c r="O1307" s="782"/>
      <c r="P1307" s="787"/>
      <c r="Q1307" s="782"/>
      <c r="R1307" s="787"/>
      <c r="S1307" s="739"/>
    </row>
    <row r="1308" spans="1:19" s="716" customFormat="1" ht="39" customHeight="1">
      <c r="A1308" s="715"/>
      <c r="B1308" s="871" t="s">
        <v>990</v>
      </c>
      <c r="C1308" s="871"/>
      <c r="D1308" s="871"/>
      <c r="E1308" s="871"/>
      <c r="F1308" s="871"/>
      <c r="G1308" s="871"/>
      <c r="H1308" s="872"/>
      <c r="I1308" s="782"/>
      <c r="J1308" s="787"/>
      <c r="K1308" s="782"/>
      <c r="L1308" s="787"/>
      <c r="M1308" s="782"/>
      <c r="N1308" s="787"/>
      <c r="O1308" s="782"/>
      <c r="P1308" s="787"/>
      <c r="Q1308" s="782"/>
      <c r="R1308" s="787"/>
      <c r="S1308" s="739"/>
    </row>
    <row r="1309" spans="1:19" s="716" customFormat="1" ht="12.6" customHeight="1">
      <c r="A1309" s="715"/>
      <c r="B1309" s="766"/>
      <c r="C1309" s="766"/>
      <c r="D1309" s="766"/>
      <c r="E1309" s="766"/>
      <c r="F1309" s="766"/>
      <c r="G1309" s="766"/>
      <c r="H1309" s="766"/>
      <c r="I1309" s="782"/>
      <c r="J1309" s="787"/>
      <c r="K1309" s="782"/>
      <c r="L1309" s="787"/>
      <c r="M1309" s="782"/>
      <c r="N1309" s="787"/>
      <c r="O1309" s="782"/>
      <c r="P1309" s="787"/>
      <c r="Q1309" s="782"/>
      <c r="R1309" s="787"/>
      <c r="S1309" s="739"/>
    </row>
    <row r="1310" spans="1:19" s="716" customFormat="1" ht="12.6" customHeight="1">
      <c r="A1310" s="715"/>
      <c r="B1310" s="766" t="s">
        <v>989</v>
      </c>
      <c r="C1310" s="766"/>
      <c r="D1310" s="766"/>
      <c r="E1310" s="766"/>
      <c r="F1310" s="766"/>
      <c r="G1310" s="766"/>
      <c r="H1310" s="766"/>
      <c r="I1310" s="808">
        <f t="shared" ref="I1310:R1310" si="189">I1275</f>
        <v>285</v>
      </c>
      <c r="J1310" s="809">
        <f t="shared" si="189"/>
        <v>2478</v>
      </c>
      <c r="K1310" s="808">
        <f t="shared" si="189"/>
        <v>321</v>
      </c>
      <c r="L1310" s="809">
        <f t="shared" si="189"/>
        <v>717</v>
      </c>
      <c r="M1310" s="808">
        <f t="shared" si="189"/>
        <v>326</v>
      </c>
      <c r="N1310" s="809">
        <f t="shared" si="189"/>
        <v>29895</v>
      </c>
      <c r="O1310" s="808">
        <f t="shared" si="189"/>
        <v>198</v>
      </c>
      <c r="P1310" s="809">
        <f t="shared" si="189"/>
        <v>2322</v>
      </c>
      <c r="Q1310" s="808">
        <f t="shared" si="189"/>
        <v>308</v>
      </c>
      <c r="R1310" s="809">
        <f t="shared" si="189"/>
        <v>43075</v>
      </c>
      <c r="S1310" s="739"/>
    </row>
    <row r="1311" spans="1:19" s="716" customFormat="1" ht="12.6" customHeight="1">
      <c r="A1311" s="715"/>
      <c r="B1311" s="766" t="s">
        <v>991</v>
      </c>
      <c r="C1311" s="877" t="str">
        <f>D1239</f>
        <v>Big denominators</v>
      </c>
      <c r="D1311" s="877"/>
      <c r="E1311" s="766"/>
      <c r="F1311" s="766"/>
      <c r="G1311" s="766"/>
      <c r="H1311" s="810" t="s">
        <v>961</v>
      </c>
      <c r="I1311" s="782"/>
      <c r="J1311" s="787">
        <f>J1238</f>
        <v>17308</v>
      </c>
      <c r="K1311" s="782"/>
      <c r="L1311" s="787">
        <f>L1238</f>
        <v>3516</v>
      </c>
      <c r="M1311" s="782"/>
      <c r="N1311" s="787">
        <f>N1238</f>
        <v>36384</v>
      </c>
      <c r="O1311" s="782"/>
      <c r="P1311" s="787">
        <f>P1238</f>
        <v>23320</v>
      </c>
      <c r="Q1311" s="782"/>
      <c r="R1311" s="787">
        <f>R1238</f>
        <v>47632</v>
      </c>
      <c r="S1311" s="739"/>
    </row>
    <row r="1312" spans="1:19" s="716" customFormat="1" ht="12.6" customHeight="1">
      <c r="A1312" s="715"/>
      <c r="B1312" s="766"/>
      <c r="C1312" s="766"/>
      <c r="D1312" s="766"/>
      <c r="E1312" s="766"/>
      <c r="F1312" s="766"/>
      <c r="G1312" s="766"/>
      <c r="H1312" s="810" t="s">
        <v>992</v>
      </c>
      <c r="I1312" s="782">
        <f>I1310</f>
        <v>285</v>
      </c>
      <c r="J1312" s="781">
        <f>ROUND(J1310*J1311/木日度法,0)</f>
        <v>2478</v>
      </c>
      <c r="K1312" s="782">
        <f>K1310</f>
        <v>321</v>
      </c>
      <c r="L1312" s="781">
        <f>ROUND(L1310*L1311/火日度法,0)</f>
        <v>717</v>
      </c>
      <c r="M1312" s="782">
        <f>M1310</f>
        <v>326</v>
      </c>
      <c r="N1312" s="781">
        <f>ROUND(N1310*N1311/土日度法,0)</f>
        <v>29895</v>
      </c>
      <c r="O1312" s="782">
        <f>O1310</f>
        <v>198</v>
      </c>
      <c r="P1312" s="781">
        <f>ROUND(P1310*P1311/金日度法,0)</f>
        <v>2322</v>
      </c>
      <c r="Q1312" s="782">
        <f>Q1310</f>
        <v>308</v>
      </c>
      <c r="R1312" s="781">
        <f>ROUND(R1310*R1311/水日度法,0)</f>
        <v>43075</v>
      </c>
      <c r="S1312" s="739"/>
    </row>
    <row r="1313" spans="1:19" s="716" customFormat="1" ht="12.6" customHeight="1">
      <c r="A1313" s="715"/>
      <c r="B1313" s="766"/>
      <c r="C1313" s="766"/>
      <c r="D1313" s="766"/>
      <c r="E1313" s="766"/>
      <c r="F1313" s="766"/>
      <c r="G1313" s="766"/>
      <c r="H1313" s="810" t="s">
        <v>993</v>
      </c>
      <c r="I1313" s="782">
        <f t="shared" ref="I1313:R1313" si="190">I1240</f>
        <v>21</v>
      </c>
      <c r="J1313" s="781">
        <f t="shared" si="190"/>
        <v>4327</v>
      </c>
      <c r="K1313" s="782">
        <f t="shared" si="190"/>
        <v>21</v>
      </c>
      <c r="L1313" s="781">
        <f t="shared" si="190"/>
        <v>879</v>
      </c>
      <c r="M1313" s="782">
        <f t="shared" si="190"/>
        <v>21</v>
      </c>
      <c r="N1313" s="781">
        <f t="shared" si="190"/>
        <v>9096</v>
      </c>
      <c r="O1313" s="782">
        <f t="shared" si="190"/>
        <v>21</v>
      </c>
      <c r="P1313" s="781">
        <f t="shared" si="190"/>
        <v>5830</v>
      </c>
      <c r="Q1313" s="782">
        <f t="shared" si="190"/>
        <v>21</v>
      </c>
      <c r="R1313" s="781">
        <f t="shared" si="190"/>
        <v>11908</v>
      </c>
      <c r="S1313" s="739"/>
    </row>
    <row r="1314" spans="1:19" s="716" customFormat="1" ht="12.6" customHeight="1">
      <c r="A1314" s="715"/>
      <c r="B1314" s="766"/>
      <c r="C1314" s="766"/>
      <c r="D1314" s="766"/>
      <c r="E1314" s="766"/>
      <c r="F1314" s="766"/>
      <c r="G1314" s="766"/>
      <c r="H1314" s="766"/>
      <c r="I1314" s="782"/>
      <c r="J1314" s="787"/>
      <c r="K1314" s="782"/>
      <c r="L1314" s="787"/>
      <c r="M1314" s="782"/>
      <c r="N1314" s="787"/>
      <c r="O1314" s="782"/>
      <c r="P1314" s="787"/>
      <c r="Q1314" s="782"/>
      <c r="R1314" s="787"/>
      <c r="S1314" s="739"/>
    </row>
    <row r="1315" spans="1:19" s="716" customFormat="1" ht="12.6" customHeight="1">
      <c r="A1315" s="715"/>
      <c r="B1315" s="766" t="s">
        <v>956</v>
      </c>
      <c r="C1315" s="766"/>
      <c r="D1315" s="766"/>
      <c r="E1315" s="766"/>
      <c r="F1315" s="766"/>
      <c r="G1315" s="766"/>
      <c r="H1315" s="766" t="s">
        <v>958</v>
      </c>
      <c r="I1315" s="782">
        <f>INT((MOD((I1312+I1313)*J1311+J1312+J1313,mean_solar_year*J1311))/J1311)</f>
        <v>306</v>
      </c>
      <c r="J1315" s="781">
        <f>MOD(MOD((I1312+I1313)*J1311+J1312+J1313,mean_solar_year*J1311),J1311)</f>
        <v>6805</v>
      </c>
      <c r="K1315" s="782">
        <f>INT((MOD((K1312+K1313)*L1311+L1312+L1313,mean_solar_year*L1311))/L1311)</f>
        <v>342</v>
      </c>
      <c r="L1315" s="787">
        <f>MOD(MOD((K1312+K1313)*L1311+L1312+L1313,mean_solar_year*L1311),L1311)</f>
        <v>1596</v>
      </c>
      <c r="M1315" s="782">
        <f>INT((MOD((M1312+M1313)*N1311+N1312+N1313,mean_solar_year*N1311))/N1311)</f>
        <v>348</v>
      </c>
      <c r="N1315" s="787">
        <f>MOD(MOD((M1312+M1313)*N1311+N1312+N1313,mean_solar_year*N1311),N1311)</f>
        <v>2607</v>
      </c>
      <c r="O1315" s="782">
        <f>INT((MOD((O1312+O1313)*P1311+P1312+P1313,mean_solar_year*P1311))/P1311)</f>
        <v>219</v>
      </c>
      <c r="P1315" s="787">
        <f>MOD(MOD((O1312+O1313)*P1311+P1312+P1313,mean_solar_year*P1311),P1311)</f>
        <v>8152</v>
      </c>
      <c r="Q1315" s="782">
        <f>INT((MOD((Q1312+Q1313)*R1311+R1312+R1313,mean_solar_year*R1311))/R1311)</f>
        <v>330</v>
      </c>
      <c r="R1315" s="787">
        <f>MOD(MOD((Q1312+Q1313)*R1311+R1312+R1313,mean_solar_year*R1311),R1311)</f>
        <v>7351</v>
      </c>
      <c r="S1315" s="739"/>
    </row>
    <row r="1316" spans="1:19" s="716" customFormat="1" ht="12.6" customHeight="1">
      <c r="A1316" s="715"/>
      <c r="B1316" s="766"/>
      <c r="C1316" s="766"/>
      <c r="D1316" s="766"/>
      <c r="E1316" s="766"/>
      <c r="F1316" s="766"/>
      <c r="G1316" s="766"/>
      <c r="H1316" s="811" t="s">
        <v>959</v>
      </c>
      <c r="I1316" s="812" t="str">
        <f>INDEX(lodge.names,MATCH((I1315*J1311+J1315)/J1311,lodge.dipper.du,1))</f>
        <v>亢</v>
      </c>
      <c r="J1316" s="813"/>
      <c r="K1316" s="812" t="str">
        <f>INDEX(lodge.names,MATCH((K1315*L1311+L1315)/L1311,lodge.dipper.du,1))</f>
        <v>尾</v>
      </c>
      <c r="L1316" s="813"/>
      <c r="M1316" s="812" t="str">
        <f>INDEX(lodge.names,MATCH((M1315*N1311+N1315)/N1311,lodge.dipper.du,1))</f>
        <v>尾</v>
      </c>
      <c r="N1316" s="813"/>
      <c r="O1316" s="812" t="str">
        <f>INDEX(lodge.names,MATCH((O1315*P1311+P1315)/P1311,lodge.dipper.du,1))</f>
        <v>柳</v>
      </c>
      <c r="P1316" s="813"/>
      <c r="Q1316" s="812" t="str">
        <f>INDEX(lodge.names,MATCH((Q1315*R1311+R1315)/R1311,lodge.dipper.du,1))</f>
        <v>房</v>
      </c>
      <c r="R1316" s="813"/>
      <c r="S1316" s="739"/>
    </row>
    <row r="1317" spans="1:19" s="716" customFormat="1" ht="12.6" customHeight="1">
      <c r="A1317" s="715"/>
      <c r="B1317" s="766"/>
      <c r="C1317" s="766"/>
      <c r="D1317" s="766"/>
      <c r="E1317" s="766"/>
      <c r="F1317" s="766"/>
      <c r="G1317" s="766"/>
      <c r="H1317" s="814" t="s">
        <v>960</v>
      </c>
      <c r="I1317" s="815">
        <f>INT(((I1315*J1311+J1315)-(INDEX(lodge.dipper.du,MATCH(I1316,lodge.names,0))*J1311))/J1311)</f>
        <v>4</v>
      </c>
      <c r="J1317" s="816">
        <f>MOD(((I1315*J1311+J1315)-(INDEX(lodge.dipper.du,MATCH(I1316,lodge.names,0))*J1311)),J1311)</f>
        <v>2478</v>
      </c>
      <c r="K1317" s="815">
        <f>INT(((K1315*L1311+L1315)-(INDEX(lodge.dipper.du,MATCH(K1316,lodge.names,0))*L1311))/L1311)</f>
        <v>6</v>
      </c>
      <c r="L1317" s="816">
        <f>MOD(((K1315*L1311+L1315)-(INDEX(lodge.dipper.du,MATCH(K1316,lodge.names,0))*L1311)),L1311)</f>
        <v>717</v>
      </c>
      <c r="M1317" s="815">
        <f>INT(((M1315*N1311+N1315)-(INDEX(lodge.dipper.du,MATCH(M1316,lodge.names,0))*N1311))/N1311)</f>
        <v>11</v>
      </c>
      <c r="N1317" s="816">
        <f>MOD(((M1315*N1311+N1315)-(INDEX(lodge.dipper.du,MATCH(M1316,lodge.names,0))*N1311)),N1311)</f>
        <v>29895</v>
      </c>
      <c r="O1317" s="815">
        <f>INT(((O1315*P1311+P1315)-(INDEX(lodge.dipper.du,MATCH(O1316,lodge.names,0))*P1311))/P1311)</f>
        <v>4</v>
      </c>
      <c r="P1317" s="816">
        <f>MOD(((O1315*P1311+P1315)-(INDEX(lodge.dipper.du,MATCH(O1316,lodge.names,0))*P1311)),P1311)</f>
        <v>2322</v>
      </c>
      <c r="Q1317" s="815">
        <f>INT(((Q1315*R1311+R1315)-(INDEX(lodge.dipper.du,MATCH(Q1316,lodge.names,0))*R1311))/R1311)</f>
        <v>3</v>
      </c>
      <c r="R1317" s="816">
        <f>MOD(((Q1315*R1311+R1315)-(INDEX(lodge.dipper.du,MATCH(Q1316,lodge.names,0))*R1311)),R1311)</f>
        <v>43075</v>
      </c>
      <c r="S1317" s="739"/>
    </row>
    <row r="1318" spans="1:19" s="716" customFormat="1" ht="12.6" customHeight="1">
      <c r="A1318" s="715"/>
      <c r="B1318" s="766"/>
      <c r="C1318" s="766"/>
      <c r="D1318" s="766"/>
      <c r="E1318" s="766"/>
      <c r="F1318" s="766"/>
      <c r="G1318" s="766"/>
      <c r="H1318" s="766"/>
      <c r="I1318" s="782"/>
      <c r="J1318" s="787"/>
      <c r="K1318" s="782"/>
      <c r="L1318" s="787"/>
      <c r="M1318" s="782"/>
      <c r="N1318" s="787"/>
      <c r="O1318" s="782"/>
      <c r="P1318" s="787"/>
      <c r="Q1318" s="782"/>
      <c r="R1318" s="787"/>
      <c r="S1318" s="739"/>
    </row>
    <row r="1319" spans="1:19" s="716" customFormat="1" ht="12.6" customHeight="1">
      <c r="A1319" s="715"/>
      <c r="B1319" s="766"/>
      <c r="C1319" s="766"/>
      <c r="D1319" s="766"/>
      <c r="E1319" s="766"/>
      <c r="F1319" s="766"/>
      <c r="G1319" s="766"/>
      <c r="H1319" s="766"/>
      <c r="I1319" s="782"/>
      <c r="J1319" s="787"/>
      <c r="K1319" s="782"/>
      <c r="L1319" s="787"/>
      <c r="M1319" s="782"/>
      <c r="N1319" s="787"/>
      <c r="O1319" s="782"/>
      <c r="P1319" s="787"/>
      <c r="Q1319" s="782"/>
      <c r="R1319" s="787"/>
      <c r="S1319" s="739"/>
    </row>
    <row r="1320" spans="1:19" s="48" customFormat="1">
      <c r="A1320"/>
      <c r="B1320"/>
      <c r="C1320"/>
      <c r="D1320"/>
      <c r="E1320"/>
      <c r="F1320"/>
      <c r="G1320"/>
      <c r="H1320"/>
      <c r="I1320" s="789"/>
      <c r="J1320" s="769"/>
      <c r="K1320" s="789"/>
      <c r="L1320" s="769"/>
      <c r="M1320" s="789"/>
      <c r="N1320" s="769"/>
      <c r="O1320" s="789"/>
      <c r="P1320" s="769"/>
      <c r="Q1320" s="789"/>
      <c r="R1320" s="769"/>
    </row>
    <row r="1321" spans="1:19" s="742" customFormat="1" ht="13.95" customHeight="1">
      <c r="A1321" s="741" t="s">
        <v>978</v>
      </c>
      <c r="B1321" s="701" t="s">
        <v>979</v>
      </c>
      <c r="I1321" s="869" t="s">
        <v>184</v>
      </c>
      <c r="J1321" s="870"/>
      <c r="K1321" s="880" t="s">
        <v>185</v>
      </c>
      <c r="L1321" s="881"/>
      <c r="M1321" s="869" t="s">
        <v>186</v>
      </c>
      <c r="N1321" s="870"/>
      <c r="O1321" s="880" t="s">
        <v>187</v>
      </c>
      <c r="P1321" s="881"/>
      <c r="Q1321" s="869" t="s">
        <v>188</v>
      </c>
      <c r="R1321" s="870"/>
      <c r="S1321" s="800"/>
    </row>
    <row r="1322" spans="1:19" s="48" customFormat="1">
      <c r="A1322" s="405"/>
      <c r="B1322" s="405"/>
      <c r="C1322"/>
      <c r="D1322"/>
      <c r="E1322"/>
      <c r="F1322"/>
      <c r="G1322"/>
      <c r="H1322"/>
      <c r="I1322" s="767"/>
      <c r="J1322" s="769"/>
      <c r="K1322" s="767"/>
      <c r="L1322" s="769"/>
      <c r="M1322" s="767"/>
      <c r="N1322" s="769"/>
      <c r="O1322" s="767"/>
      <c r="P1322" s="769"/>
      <c r="Q1322" s="767"/>
      <c r="R1322" s="769"/>
    </row>
    <row r="1323" spans="1:19" s="48" customFormat="1" ht="13.95" customHeight="1">
      <c r="A1323" s="405"/>
      <c r="B1323" s="871" t="s">
        <v>1001</v>
      </c>
      <c r="C1323" s="871"/>
      <c r="D1323" s="871"/>
      <c r="E1323" s="871"/>
      <c r="F1323" s="871"/>
      <c r="G1323" s="871"/>
      <c r="H1323" s="872"/>
      <c r="I1323" s="782"/>
      <c r="J1323" s="781"/>
      <c r="K1323" s="782"/>
      <c r="L1323" s="781"/>
      <c r="M1323" s="782"/>
      <c r="N1323" s="781"/>
      <c r="O1323" s="782"/>
      <c r="P1323" s="781"/>
      <c r="Q1323" s="782"/>
      <c r="R1323" s="781"/>
    </row>
    <row r="1324" spans="1:19" s="48" customFormat="1" ht="13.2" customHeight="1" thickBot="1">
      <c r="A1324"/>
      <c r="B1324" s="707"/>
      <c r="C1324" s="708"/>
      <c r="D1324" s="708"/>
      <c r="E1324" s="707"/>
      <c r="F1324" s="707"/>
      <c r="G1324" s="707"/>
      <c r="H1324" s="788"/>
      <c r="I1324" s="782"/>
      <c r="J1324" s="781"/>
      <c r="K1324" s="782"/>
      <c r="L1324" s="781"/>
      <c r="M1324" s="782"/>
      <c r="N1324" s="781"/>
      <c r="O1324" s="782"/>
      <c r="P1324" s="781"/>
      <c r="Q1324" s="782"/>
      <c r="R1324" s="781"/>
    </row>
    <row r="1325" spans="1:19" s="48" customFormat="1" ht="14.4" customHeight="1" thickBot="1">
      <c r="A1325"/>
      <c r="B1325" s="707"/>
      <c r="C1325" s="459" t="s">
        <v>616</v>
      </c>
      <c r="D1325" s="878" t="s">
        <v>1055</v>
      </c>
      <c r="E1325" s="879"/>
      <c r="F1325" s="707"/>
      <c r="G1325" s="707"/>
      <c r="H1325" s="788"/>
      <c r="I1325" s="782"/>
      <c r="J1325" s="781"/>
      <c r="K1325" s="782"/>
      <c r="L1325" s="781"/>
      <c r="M1325" s="782"/>
      <c r="N1325" s="781"/>
      <c r="O1325" s="782"/>
      <c r="P1325" s="781"/>
      <c r="Q1325" s="782"/>
      <c r="R1325" s="781"/>
    </row>
    <row r="1326" spans="1:19" s="48" customFormat="1" ht="14.4" customHeight="1">
      <c r="A1326"/>
      <c r="B1326" s="707"/>
      <c r="C1326" s="708"/>
      <c r="D1326" s="708"/>
      <c r="E1326" s="707"/>
      <c r="F1326" s="707"/>
      <c r="G1326" s="707"/>
      <c r="H1326" s="788"/>
      <c r="I1326" s="782"/>
      <c r="J1326" s="781"/>
      <c r="K1326" s="782"/>
      <c r="L1326" s="781"/>
      <c r="M1326" s="782"/>
      <c r="N1326" s="781"/>
      <c r="O1326" s="782"/>
      <c r="P1326" s="781"/>
      <c r="Q1326" s="782"/>
      <c r="R1326" s="781"/>
    </row>
    <row r="1327" spans="1:19" s="48" customFormat="1" ht="14.4" customHeight="1">
      <c r="A1327"/>
      <c r="B1327" s="399" t="s">
        <v>1033</v>
      </c>
      <c r="C1327" s="708"/>
      <c r="D1327" s="708"/>
      <c r="E1327" s="707"/>
      <c r="F1327" s="707"/>
      <c r="G1327" s="707"/>
      <c r="H1327" s="788"/>
      <c r="I1327" s="808">
        <f>IF($D$1325="Procedure 3.42",$I$1266+I1269,$I$1178+I1190)</f>
        <v>9412</v>
      </c>
      <c r="J1327" s="809"/>
      <c r="K1327" s="808">
        <f>IF($D$1325="Procedure 3.42",K1266+K1269,$I$1178+K1190)</f>
        <v>9410</v>
      </c>
      <c r="L1327" s="809"/>
      <c r="M1327" s="808">
        <f>IF($D$1325="Procedure 3.42",M1266+M1269,$I$1178+M1190)</f>
        <v>9412</v>
      </c>
      <c r="N1327" s="809"/>
      <c r="O1327" s="808">
        <f>IF($D$1325="Procedure 3.42",O1266+O1269,$I$1178+O1190)</f>
        <v>9412</v>
      </c>
      <c r="P1327" s="809"/>
      <c r="Q1327" s="808">
        <f>IF($D$1325="Procedure 3.42",Q1266+Q1269,$I$1178+Q1190)</f>
        <v>9412</v>
      </c>
      <c r="R1327" s="809"/>
    </row>
    <row r="1328" spans="1:19" s="48" customFormat="1" ht="14.4" customHeight="1">
      <c r="A1328"/>
      <c r="B1328" s="399" t="s">
        <v>1017</v>
      </c>
      <c r="C1328" s="708"/>
      <c r="D1328" s="708"/>
      <c r="E1328" s="707"/>
      <c r="F1328" s="707"/>
      <c r="G1328" s="707"/>
      <c r="H1328" s="788"/>
      <c r="I1328" s="873" t="str">
        <f>D1182</f>
        <v>去上元年數+1</v>
      </c>
      <c r="J1328" s="874"/>
      <c r="K1328" s="782"/>
      <c r="L1328" s="781"/>
      <c r="M1328" s="782"/>
      <c r="N1328" s="781"/>
      <c r="O1328" s="782"/>
      <c r="P1328" s="781"/>
      <c r="Q1328" s="782"/>
      <c r="R1328" s="781"/>
    </row>
    <row r="1329" spans="1:19" s="48" customFormat="1" ht="14.4" customHeight="1">
      <c r="A1329"/>
      <c r="B1329" s="399" t="s">
        <v>1002</v>
      </c>
      <c r="C1329" s="708"/>
      <c r="D1329" s="708"/>
      <c r="E1329" s="707"/>
      <c r="F1329" s="707"/>
      <c r="G1329" s="707"/>
      <c r="H1329" s="788"/>
      <c r="I1329" s="808" t="str">
        <f>IF(J1329&lt;=current.year,CHOOSE(current.year-J1329+1,"本年","前年","前前年","前前前年","前前前前年"),CHOOSE(J1329-current.year,"後年","後後年","後後後年","後後後後年"))</f>
        <v>前年</v>
      </c>
      <c r="J1329" s="809">
        <f>I1327+High.origin.year-IF($I$1328="去上元年數",0,1)</f>
        <v>131</v>
      </c>
      <c r="K1329" s="808" t="str">
        <f>IF(L1329&lt;=current.year,CHOOSE(current.year-L1329+1,"本年","前年","前前年","前前前年","前前前前年"),CHOOSE(L1329-current.year,"後年","後後年","後後後年","後後後後年"))</f>
        <v>前前前年</v>
      </c>
      <c r="L1329" s="809">
        <f>K1327+High.origin.year-IF($I$1328="去上元年數",0,1)</f>
        <v>129</v>
      </c>
      <c r="M1329" s="808" t="str">
        <f>IF(N1329&lt;=current.year,CHOOSE(current.year-N1329+1,"本年","前年","前前年","前前前年","前前前前年"),CHOOSE(N1329-current.year,"後年","後後年","後後後年","後後後後年"))</f>
        <v>前年</v>
      </c>
      <c r="N1329" s="809">
        <f>M1327+High.origin.year-IF($I$1328="去上元年數",0,1)</f>
        <v>131</v>
      </c>
      <c r="O1329" s="808" t="str">
        <f>IF(P1329&lt;=current.year,CHOOSE(current.year-P1329+1,"本年","前年","前前年","前前前年","前前前前年"),CHOOSE(P1329-current.year,"後年","後後年","後後後年","後後後後年"))</f>
        <v>前年</v>
      </c>
      <c r="P1329" s="809">
        <f>O1327+High.origin.year-IF($I$1328="去上元年數",0,1)</f>
        <v>131</v>
      </c>
      <c r="Q1329" s="808" t="str">
        <f>IF(R1329&lt;=current.year,CHOOSE(current.year-R1329+1,"本年","前年","前前年","前前前年","前前前前年"),CHOOSE(R1329-current.year,"後年","後後年","後後後年","後後後後年"))</f>
        <v>前年</v>
      </c>
      <c r="R1329" s="809">
        <f>Q1327+High.origin.year-IF($I$1328="去上元年數",0,1)</f>
        <v>131</v>
      </c>
    </row>
    <row r="1330" spans="1:19" s="48" customFormat="1" ht="14.4" customHeight="1">
      <c r="A1330"/>
      <c r="B1330" s="399" t="s">
        <v>1003</v>
      </c>
      <c r="C1330" s="708"/>
      <c r="D1330" s="708"/>
      <c r="E1330" s="707"/>
      <c r="F1330" s="707"/>
      <c r="G1330" s="707"/>
      <c r="H1330" s="788"/>
      <c r="I1330" s="808">
        <f t="shared" ref="I1330:R1330" si="191">IF($D$1325="Procedure 3.42",I1268,I1188)</f>
        <v>8619</v>
      </c>
      <c r="J1330" s="809">
        <f t="shared" si="191"/>
        <v>949</v>
      </c>
      <c r="K1330" s="808">
        <f t="shared" si="191"/>
        <v>4409</v>
      </c>
      <c r="L1330" s="809">
        <f t="shared" si="191"/>
        <v>1864</v>
      </c>
      <c r="M1330" s="808">
        <f t="shared" si="191"/>
        <v>9093</v>
      </c>
      <c r="N1330" s="809">
        <f t="shared" si="191"/>
        <v>957</v>
      </c>
      <c r="O1330" s="808">
        <f t="shared" si="191"/>
        <v>11772</v>
      </c>
      <c r="P1330" s="809">
        <f t="shared" si="191"/>
        <v>2668</v>
      </c>
      <c r="Q1330" s="808">
        <f t="shared" si="191"/>
        <v>59331</v>
      </c>
      <c r="R1330" s="809">
        <f t="shared" si="191"/>
        <v>1837</v>
      </c>
    </row>
    <row r="1331" spans="1:19" s="48" customFormat="1" ht="14.4" customHeight="1">
      <c r="A1331"/>
      <c r="B1331" s="399" t="s">
        <v>999</v>
      </c>
      <c r="C1331" s="708"/>
      <c r="D1331" s="708"/>
      <c r="E1331" s="707"/>
      <c r="F1331" s="707"/>
      <c r="G1331" s="707"/>
      <c r="H1331" s="788"/>
      <c r="I1331" s="808">
        <f>IF($D$1325="Procedure 3.42",J1296,J1204)</f>
        <v>3608</v>
      </c>
      <c r="J1331" s="809">
        <f>IF($D$1325="Procedure 3.42",J1294,J1202)</f>
        <v>71221</v>
      </c>
      <c r="K1331" s="808">
        <f>IF($D$1325="Procedure 3.42",L1296,L1204)</f>
        <v>3585</v>
      </c>
      <c r="L1331" s="809">
        <f>IF($D$1325="Procedure 3.42",L1294,L1202)</f>
        <v>5855</v>
      </c>
      <c r="M1331" s="808">
        <f>IF($D$1325="Procedure 3.42",N1296,N1204)</f>
        <v>3610</v>
      </c>
      <c r="N1331" s="809">
        <f>IF($D$1325="Procedure 3.42",N1294,N1202)</f>
        <v>47985</v>
      </c>
      <c r="O1331" s="808">
        <f>IF($D$1325="Procedure 3.42",P1296,P1204)</f>
        <v>3605</v>
      </c>
      <c r="P1331" s="809">
        <f>IF($D$1325="Procedure 3.42",P1294,P1202)</f>
        <v>101770</v>
      </c>
      <c r="Q1331" s="808">
        <f>IF($D$1325="Procedure 3.42",R1296,R1204)</f>
        <v>3609</v>
      </c>
      <c r="R1331" s="809">
        <f>IF($D$1325="Procedure 3.42",R1294,R1202)</f>
        <v>151797</v>
      </c>
    </row>
    <row r="1332" spans="1:19" s="48" customFormat="1" ht="14.4" customHeight="1">
      <c r="A1332"/>
      <c r="B1332" s="399" t="s">
        <v>997</v>
      </c>
      <c r="C1332" s="708"/>
      <c r="D1332" s="708"/>
      <c r="E1332" s="707"/>
      <c r="F1332" s="707"/>
      <c r="G1332" s="707"/>
      <c r="H1332" s="788"/>
      <c r="I1332" s="808">
        <f t="shared" ref="I1332:R1332" si="192">IF($D$1325="Procedure 3.42",I1298,I1206)</f>
        <v>107</v>
      </c>
      <c r="J1332" s="809">
        <f t="shared" si="192"/>
        <v>111</v>
      </c>
      <c r="K1332" s="808">
        <f t="shared" si="192"/>
        <v>106</v>
      </c>
      <c r="L1332" s="809">
        <f t="shared" si="192"/>
        <v>185</v>
      </c>
      <c r="M1332" s="808">
        <f t="shared" si="192"/>
        <v>107</v>
      </c>
      <c r="N1332" s="809">
        <f t="shared" si="192"/>
        <v>125</v>
      </c>
      <c r="O1332" s="808">
        <f t="shared" si="192"/>
        <v>107</v>
      </c>
      <c r="P1332" s="809">
        <f t="shared" si="192"/>
        <v>90</v>
      </c>
      <c r="Q1332" s="808">
        <f t="shared" si="192"/>
        <v>107</v>
      </c>
      <c r="R1332" s="809">
        <f t="shared" si="192"/>
        <v>118</v>
      </c>
    </row>
    <row r="1333" spans="1:19" s="48" customFormat="1" ht="14.4" customHeight="1">
      <c r="A1333"/>
      <c r="B1333" s="399" t="s">
        <v>998</v>
      </c>
      <c r="C1333" s="708"/>
      <c r="D1333" s="708"/>
      <c r="E1333" s="707"/>
      <c r="F1333" s="707"/>
      <c r="G1333" s="707"/>
      <c r="H1333" s="788"/>
      <c r="I1333" s="818" t="s">
        <v>996</v>
      </c>
      <c r="J1333" s="817">
        <f>IF($D$1325="Procedure 3.42",J1301,J1209)</f>
        <v>9</v>
      </c>
      <c r="K1333" s="818" t="s">
        <v>996</v>
      </c>
      <c r="L1333" s="817">
        <f>IF($D$1325="Procedure 3.42",L1301,L1209)</f>
        <v>11</v>
      </c>
      <c r="M1333" s="818" t="s">
        <v>996</v>
      </c>
      <c r="N1333" s="817">
        <f>IF($D$1325="Procedure 3.42",N1301,N1209)</f>
        <v>11</v>
      </c>
      <c r="O1333" s="818" t="s">
        <v>996</v>
      </c>
      <c r="P1333" s="817">
        <f>IF($D$1325="Procedure 3.42",P1301,P1209)</f>
        <v>6</v>
      </c>
      <c r="Q1333" s="818" t="s">
        <v>996</v>
      </c>
      <c r="R1333" s="817">
        <f>IF($D$1325="Procedure 3.42",R1301,R1209)</f>
        <v>10</v>
      </c>
    </row>
    <row r="1334" spans="1:19" s="48" customFormat="1" ht="14.4" customHeight="1">
      <c r="A1334"/>
      <c r="B1334" s="399" t="s">
        <v>994</v>
      </c>
      <c r="C1334" s="708"/>
      <c r="D1334" s="708"/>
      <c r="E1334" s="707"/>
      <c r="F1334" s="707"/>
      <c r="G1334" s="707"/>
      <c r="H1334" s="788"/>
      <c r="I1334" s="818" t="s">
        <v>995</v>
      </c>
      <c r="J1334" s="817"/>
      <c r="K1334" s="818" t="s">
        <v>995</v>
      </c>
      <c r="L1334" s="817"/>
      <c r="M1334" s="818" t="s">
        <v>995</v>
      </c>
      <c r="N1334" s="817"/>
      <c r="O1334" s="818" t="str">
        <f>IF($D$1325="Procedure 3.42",O1270,O1194)</f>
        <v>evening</v>
      </c>
      <c r="P1334" s="817"/>
      <c r="Q1334" s="818" t="str">
        <f>IF($D$1325="Procedure 3.42",Q1270,Q1194)</f>
        <v>evening</v>
      </c>
      <c r="R1334" s="817"/>
    </row>
    <row r="1335" spans="1:19" s="48" customFormat="1">
      <c r="A1335" s="405"/>
      <c r="B1335" s="405"/>
      <c r="C1335"/>
      <c r="D1335"/>
      <c r="E1335"/>
      <c r="F1335"/>
      <c r="G1335"/>
      <c r="H1335"/>
      <c r="I1335" s="767"/>
      <c r="J1335" s="769"/>
      <c r="K1335" s="767"/>
      <c r="L1335" s="769"/>
      <c r="M1335" s="767"/>
      <c r="N1335" s="769"/>
      <c r="O1335" s="767"/>
      <c r="P1335" s="769"/>
      <c r="Q1335" s="767"/>
      <c r="R1335" s="769"/>
    </row>
    <row r="1336" spans="1:19" s="48" customFormat="1" ht="13.2" customHeight="1">
      <c r="A1336" s="688">
        <f>A1261+1</f>
        <v>165</v>
      </c>
      <c r="B1336" t="s">
        <v>980</v>
      </c>
      <c r="C1336"/>
      <c r="D1336"/>
      <c r="E1336"/>
      <c r="F1336"/>
      <c r="G1336"/>
      <c r="H1336"/>
      <c r="I1336" s="767">
        <f>J1333+木合積月</f>
        <v>22</v>
      </c>
      <c r="J1336" s="769"/>
      <c r="K1336" s="767">
        <f>L1333+火合積月</f>
        <v>37</v>
      </c>
      <c r="L1336" s="769"/>
      <c r="M1336" s="767">
        <f>N1333+土合積月</f>
        <v>23</v>
      </c>
      <c r="N1336" s="769"/>
      <c r="O1336" s="767">
        <f>P1333+金合積月</f>
        <v>15</v>
      </c>
      <c r="P1336" s="769"/>
      <c r="Q1336" s="767">
        <f>R1333+水合積月</f>
        <v>11</v>
      </c>
      <c r="R1336" s="769"/>
    </row>
    <row r="1337" spans="1:19" s="48" customFormat="1">
      <c r="A1337"/>
      <c r="B1337" t="s">
        <v>981</v>
      </c>
      <c r="C1337"/>
      <c r="D1337"/>
      <c r="E1337"/>
      <c r="F1337"/>
      <c r="G1337"/>
      <c r="I1337" s="767" t="s">
        <v>996</v>
      </c>
      <c r="J1337" s="769">
        <f>木月餘+J1331</f>
        <v>112827</v>
      </c>
      <c r="K1337" s="767" t="s">
        <v>996</v>
      </c>
      <c r="L1337" s="769">
        <f>火月餘+L1331</f>
        <v>12489</v>
      </c>
      <c r="M1337" s="767" t="s">
        <v>996</v>
      </c>
      <c r="N1337" s="769">
        <f>土月餘+N1331</f>
        <v>186622</v>
      </c>
      <c r="O1337" s="767" t="s">
        <v>996</v>
      </c>
      <c r="P1337" s="769">
        <f>金月餘+P1331</f>
        <v>200175</v>
      </c>
      <c r="Q1337" s="767" t="s">
        <v>996</v>
      </c>
      <c r="R1337" s="769">
        <f>水月餘+R1331</f>
        <v>369460</v>
      </c>
    </row>
    <row r="1338" spans="1:19" s="48" customFormat="1">
      <c r="A1338"/>
      <c r="B1338" t="s">
        <v>982</v>
      </c>
      <c r="C1338"/>
      <c r="D1338"/>
      <c r="E1338"/>
      <c r="F1338"/>
      <c r="G1338"/>
      <c r="I1338" s="767">
        <f>I1336+IF(J1338&lt;J1337,1)</f>
        <v>23</v>
      </c>
      <c r="J1338" s="769">
        <f>MOD(J1337,木月法)</f>
        <v>30614</v>
      </c>
      <c r="K1338" s="767">
        <f t="shared" ref="K1338" si="193">K1336+IF(L1338&lt;L1337,1)</f>
        <v>37</v>
      </c>
      <c r="L1338" s="769">
        <f>MOD(L1337,火月法)</f>
        <v>12489</v>
      </c>
      <c r="M1338" s="767">
        <f t="shared" ref="M1338" si="194">M1336+IF(N1338&lt;N1337,1)</f>
        <v>24</v>
      </c>
      <c r="N1338" s="769">
        <f>MOD(N1337,土月法)</f>
        <v>13798</v>
      </c>
      <c r="O1338" s="767">
        <f t="shared" ref="O1338" si="195">O1336+IF(P1338&lt;P1337,1)</f>
        <v>16</v>
      </c>
      <c r="P1338" s="769">
        <f>MOD(P1337,金月法)</f>
        <v>89405</v>
      </c>
      <c r="Q1338" s="767">
        <f t="shared" ref="Q1338" si="196">Q1336+IF(R1338&lt;R1337,1)</f>
        <v>12</v>
      </c>
      <c r="R1338" s="769">
        <f>MOD(R1337,水月法)</f>
        <v>143208</v>
      </c>
    </row>
    <row r="1339" spans="1:19" s="48" customFormat="1">
      <c r="A1339"/>
      <c r="B1339"/>
      <c r="C1339"/>
      <c r="D1339"/>
      <c r="E1339"/>
      <c r="F1339"/>
      <c r="G1339"/>
      <c r="I1339" s="767"/>
      <c r="J1339" s="769"/>
      <c r="K1339" s="767"/>
      <c r="L1339" s="769"/>
      <c r="M1339" s="767"/>
      <c r="N1339" s="769"/>
      <c r="O1339" s="767"/>
      <c r="P1339" s="769"/>
      <c r="Q1339" s="767"/>
      <c r="R1339" s="769"/>
    </row>
    <row r="1340" spans="1:19" s="48" customFormat="1">
      <c r="A1340"/>
      <c r="B1340" t="s">
        <v>1000</v>
      </c>
      <c r="C1340"/>
      <c r="D1340"/>
      <c r="E1340"/>
      <c r="F1340"/>
      <c r="G1340"/>
      <c r="I1340" s="767">
        <f>INT(I1338/12)</f>
        <v>1</v>
      </c>
      <c r="J1340" s="769">
        <f>MOD(I1338,12)</f>
        <v>11</v>
      </c>
      <c r="K1340" s="767">
        <f>INT(K1338/12)</f>
        <v>3</v>
      </c>
      <c r="L1340" s="769">
        <f>MOD(K1338,12)</f>
        <v>1</v>
      </c>
      <c r="M1340" s="767">
        <f>INT(M1338/12)</f>
        <v>2</v>
      </c>
      <c r="N1340" s="769">
        <f>MOD(M1338,12)</f>
        <v>0</v>
      </c>
      <c r="O1340" s="767">
        <f>INT(O1338/12)</f>
        <v>1</v>
      </c>
      <c r="P1340" s="769">
        <f>MOD(O1338,12)</f>
        <v>4</v>
      </c>
      <c r="Q1340" s="767">
        <f>INT(Q1338/12)</f>
        <v>1</v>
      </c>
      <c r="R1340" s="769">
        <f>MOD(Q1338,12)</f>
        <v>0</v>
      </c>
    </row>
    <row r="1341" spans="1:19" s="48" customFormat="1">
      <c r="A1341"/>
      <c r="B1341"/>
      <c r="C1341"/>
      <c r="D1341"/>
      <c r="E1341"/>
      <c r="F1341"/>
      <c r="G1341"/>
      <c r="I1341" s="767"/>
      <c r="J1341" s="769"/>
      <c r="K1341" s="767"/>
      <c r="L1341" s="769"/>
      <c r="M1341" s="767"/>
      <c r="N1341" s="769"/>
      <c r="O1341" s="767"/>
      <c r="P1341" s="769"/>
      <c r="Q1341" s="767"/>
      <c r="R1341" s="769"/>
    </row>
    <row r="1342" spans="1:19" s="48" customFormat="1" ht="68.400000000000006" customHeight="1">
      <c r="A1342"/>
      <c r="B1342" s="871" t="s">
        <v>1025</v>
      </c>
      <c r="C1342" s="871"/>
      <c r="D1342" s="871"/>
      <c r="E1342" s="871"/>
      <c r="F1342" s="871"/>
      <c r="G1342" s="871"/>
      <c r="H1342" s="872"/>
      <c r="I1342" s="782"/>
      <c r="J1342" s="781"/>
      <c r="K1342" s="782"/>
      <c r="L1342" s="781"/>
      <c r="M1342" s="782"/>
      <c r="N1342" s="781"/>
      <c r="O1342" s="782"/>
      <c r="P1342" s="781"/>
      <c r="Q1342" s="782"/>
      <c r="R1342" s="781"/>
    </row>
    <row r="1343" spans="1:19" s="716" customFormat="1" ht="12.6" customHeight="1">
      <c r="A1343" s="715"/>
      <c r="B1343" s="766"/>
      <c r="C1343" s="766"/>
      <c r="D1343" s="766"/>
      <c r="E1343" s="766"/>
      <c r="F1343" s="766"/>
      <c r="G1343" s="766"/>
      <c r="H1343" s="810" t="s">
        <v>1021</v>
      </c>
      <c r="I1343" s="808">
        <f t="shared" ref="I1343:R1343" si="197">I1332</f>
        <v>107</v>
      </c>
      <c r="J1343" s="809">
        <f t="shared" si="197"/>
        <v>111</v>
      </c>
      <c r="K1343" s="808">
        <f t="shared" si="197"/>
        <v>106</v>
      </c>
      <c r="L1343" s="809">
        <f t="shared" si="197"/>
        <v>185</v>
      </c>
      <c r="M1343" s="808">
        <f t="shared" si="197"/>
        <v>107</v>
      </c>
      <c r="N1343" s="809">
        <f t="shared" si="197"/>
        <v>125</v>
      </c>
      <c r="O1343" s="808">
        <f t="shared" si="197"/>
        <v>107</v>
      </c>
      <c r="P1343" s="809">
        <f t="shared" si="197"/>
        <v>90</v>
      </c>
      <c r="Q1343" s="808">
        <f t="shared" si="197"/>
        <v>107</v>
      </c>
      <c r="R1343" s="809">
        <f t="shared" si="197"/>
        <v>118</v>
      </c>
      <c r="S1343" s="739"/>
    </row>
    <row r="1344" spans="1:19" s="716" customFormat="1" ht="12.6" customHeight="1">
      <c r="A1344" s="715"/>
      <c r="B1344" s="766"/>
      <c r="C1344" s="766"/>
      <c r="D1344" s="766"/>
      <c r="E1344" s="766"/>
      <c r="F1344" s="766"/>
      <c r="G1344" s="766"/>
      <c r="H1344" s="810" t="s">
        <v>1022</v>
      </c>
      <c r="I1344" s="808">
        <f>I1338-J1333</f>
        <v>14</v>
      </c>
      <c r="J1344" s="809"/>
      <c r="K1344" s="808">
        <f>K1338-L1333</f>
        <v>26</v>
      </c>
      <c r="L1344" s="809"/>
      <c r="M1344" s="808">
        <f>M1338-N1333</f>
        <v>13</v>
      </c>
      <c r="N1344" s="809"/>
      <c r="O1344" s="808">
        <f>O1338-P1333</f>
        <v>10</v>
      </c>
      <c r="P1344" s="809"/>
      <c r="Q1344" s="808">
        <f>Q1338-R1333</f>
        <v>2</v>
      </c>
      <c r="R1344" s="809"/>
      <c r="S1344" s="739"/>
    </row>
    <row r="1345" spans="1:19" s="716" customFormat="1" ht="12.6" customHeight="1">
      <c r="A1345" s="715"/>
      <c r="B1345" s="766"/>
      <c r="C1345" s="766"/>
      <c r="D1345" s="766"/>
      <c r="E1345" s="766"/>
      <c r="F1345" s="766"/>
      <c r="G1345" s="766"/>
      <c r="H1345" s="810" t="s">
        <v>1026</v>
      </c>
      <c r="I1345" s="782">
        <f>INT(I1344*章閏/章月)</f>
        <v>0</v>
      </c>
      <c r="J1345" s="781">
        <f>MOD(I1344*章閏,章月)</f>
        <v>98</v>
      </c>
      <c r="K1345" s="782">
        <f>INT(K1344*章閏/章月)</f>
        <v>0</v>
      </c>
      <c r="L1345" s="781">
        <f>MOD(K1344*章閏,章月)</f>
        <v>182</v>
      </c>
      <c r="M1345" s="782">
        <f>INT(M1344*章閏/章月)</f>
        <v>0</v>
      </c>
      <c r="N1345" s="781">
        <f>MOD(M1344*章閏,章月)</f>
        <v>91</v>
      </c>
      <c r="O1345" s="782">
        <f>INT(O1344*章閏/章月)</f>
        <v>0</v>
      </c>
      <c r="P1345" s="781">
        <f>MOD(O1344*章閏,章月)</f>
        <v>70</v>
      </c>
      <c r="Q1345" s="782">
        <f>INT(Q1344*章閏/章月)</f>
        <v>0</v>
      </c>
      <c r="R1345" s="781">
        <f>MOD(Q1344*章閏,章月)</f>
        <v>14</v>
      </c>
      <c r="S1345" s="739"/>
    </row>
    <row r="1346" spans="1:19" s="716" customFormat="1" ht="12.6" customHeight="1">
      <c r="A1346" s="715"/>
      <c r="B1346" s="766"/>
      <c r="C1346" s="766"/>
      <c r="D1346" s="766"/>
      <c r="E1346" s="766"/>
      <c r="F1346" s="766"/>
      <c r="G1346" s="766"/>
      <c r="H1346" s="810" t="s">
        <v>1023</v>
      </c>
      <c r="I1346" s="782">
        <f>INT(((I1343+I1345)*章月+J1343+J1345)/章月)</f>
        <v>107</v>
      </c>
      <c r="J1346" s="781">
        <f>MOD(J1345+J1343,章月)</f>
        <v>209</v>
      </c>
      <c r="K1346" s="782">
        <f>INT(((K1343+K1345)*章月+L1343+L1345)/章月)</f>
        <v>107</v>
      </c>
      <c r="L1346" s="781">
        <f>MOD(L1345+L1343,章月)</f>
        <v>132</v>
      </c>
      <c r="M1346" s="782">
        <f>INT(((M1343+M1345)*章月+N1343+N1345)/章月)</f>
        <v>107</v>
      </c>
      <c r="N1346" s="781">
        <f>MOD(N1345+N1343,章月)</f>
        <v>216</v>
      </c>
      <c r="O1346" s="782">
        <f>INT(((O1343+O1345)*章月+P1343+P1345)/章月)</f>
        <v>107</v>
      </c>
      <c r="P1346" s="781">
        <f>MOD(P1345+P1343,章月)</f>
        <v>160</v>
      </c>
      <c r="Q1346" s="782">
        <f>INT(((Q1343+Q1345)*章月+R1343+R1345)/章月)</f>
        <v>107</v>
      </c>
      <c r="R1346" s="781">
        <f>MOD(R1345+R1343,章月)</f>
        <v>132</v>
      </c>
      <c r="S1346" s="739"/>
    </row>
    <row r="1347" spans="1:19" s="716" customFormat="1" ht="12.6" customHeight="1">
      <c r="A1347" s="715"/>
      <c r="B1347" s="766"/>
      <c r="C1347" s="766"/>
      <c r="D1347" s="766"/>
      <c r="E1347" s="766"/>
      <c r="F1347" s="766"/>
      <c r="G1347" s="766"/>
      <c r="H1347" s="810" t="s">
        <v>1024</v>
      </c>
      <c r="I1347" s="782">
        <f>I1346-I1343</f>
        <v>0</v>
      </c>
      <c r="J1347" s="781"/>
      <c r="K1347" s="782">
        <f>K1346-K1343</f>
        <v>1</v>
      </c>
      <c r="L1347" s="781"/>
      <c r="M1347" s="782">
        <f>M1346-M1343</f>
        <v>0</v>
      </c>
      <c r="N1347" s="781"/>
      <c r="O1347" s="782">
        <f>O1346-O1343</f>
        <v>0</v>
      </c>
      <c r="P1347" s="781"/>
      <c r="Q1347" s="782">
        <f>Q1346-Q1343</f>
        <v>0</v>
      </c>
      <c r="R1347" s="781"/>
      <c r="S1347" s="739"/>
    </row>
    <row r="1348" spans="1:19" s="716" customFormat="1" ht="12.6" customHeight="1">
      <c r="A1348" s="715"/>
      <c r="B1348" s="766" t="s">
        <v>1027</v>
      </c>
      <c r="C1348" s="766"/>
      <c r="D1348" s="766"/>
      <c r="E1348" s="766"/>
      <c r="F1348" s="766"/>
      <c r="G1348" s="766"/>
      <c r="H1348" s="810"/>
      <c r="I1348" s="782"/>
      <c r="J1348" s="781"/>
      <c r="K1348" s="782"/>
      <c r="L1348" s="781"/>
      <c r="M1348" s="782"/>
      <c r="N1348" s="781"/>
      <c r="O1348" s="782"/>
      <c r="P1348" s="781"/>
      <c r="Q1348" s="782"/>
      <c r="R1348" s="781"/>
      <c r="S1348" s="739"/>
    </row>
    <row r="1349" spans="1:19" s="716" customFormat="1" ht="12.6" customHeight="1">
      <c r="A1349" s="715"/>
      <c r="B1349" s="766"/>
      <c r="C1349" s="766"/>
      <c r="D1349" s="766"/>
      <c r="E1349" s="766"/>
      <c r="F1349" s="766"/>
      <c r="G1349" s="766"/>
      <c r="H1349" s="810" t="s">
        <v>1029</v>
      </c>
      <c r="I1349" s="808">
        <f t="shared" ref="I1349:R1349" si="198">I1338</f>
        <v>23</v>
      </c>
      <c r="J1349" s="809">
        <f t="shared" si="198"/>
        <v>30614</v>
      </c>
      <c r="K1349" s="808">
        <f t="shared" si="198"/>
        <v>37</v>
      </c>
      <c r="L1349" s="809">
        <f t="shared" si="198"/>
        <v>12489</v>
      </c>
      <c r="M1349" s="808">
        <f t="shared" si="198"/>
        <v>24</v>
      </c>
      <c r="N1349" s="809">
        <f t="shared" si="198"/>
        <v>13798</v>
      </c>
      <c r="O1349" s="808">
        <f t="shared" si="198"/>
        <v>16</v>
      </c>
      <c r="P1349" s="809">
        <f t="shared" si="198"/>
        <v>89405</v>
      </c>
      <c r="Q1349" s="808">
        <f t="shared" si="198"/>
        <v>12</v>
      </c>
      <c r="R1349" s="809">
        <f t="shared" si="198"/>
        <v>143208</v>
      </c>
      <c r="S1349" s="739"/>
    </row>
    <row r="1350" spans="1:19" s="716" customFormat="1" ht="12.6" customHeight="1">
      <c r="A1350" s="715"/>
      <c r="B1350" s="766"/>
      <c r="C1350" s="766"/>
      <c r="D1350" s="766"/>
      <c r="E1350" s="766"/>
      <c r="F1350" s="766"/>
      <c r="G1350" s="766"/>
      <c r="H1350" s="810" t="s">
        <v>1028</v>
      </c>
      <c r="I1350" s="782">
        <f>I1349-I1347</f>
        <v>23</v>
      </c>
      <c r="J1350" s="781">
        <f>J1349</f>
        <v>30614</v>
      </c>
      <c r="K1350" s="782">
        <f>K1349-K1347</f>
        <v>36</v>
      </c>
      <c r="L1350" s="781">
        <f>L1349</f>
        <v>12489</v>
      </c>
      <c r="M1350" s="782">
        <f>M1349-M1347</f>
        <v>24</v>
      </c>
      <c r="N1350" s="781">
        <f>N1349</f>
        <v>13798</v>
      </c>
      <c r="O1350" s="782">
        <f>O1349-O1347</f>
        <v>16</v>
      </c>
      <c r="P1350" s="781">
        <f>P1349</f>
        <v>89405</v>
      </c>
      <c r="Q1350" s="782">
        <f>Q1349-Q1347</f>
        <v>12</v>
      </c>
      <c r="R1350" s="781">
        <f>R1349</f>
        <v>143208</v>
      </c>
      <c r="S1350" s="739"/>
    </row>
    <row r="1351" spans="1:19" s="716" customFormat="1" ht="12.6" customHeight="1">
      <c r="A1351" s="715"/>
      <c r="B1351" s="766"/>
      <c r="C1351" s="766"/>
      <c r="D1351" s="766"/>
      <c r="E1351" s="766"/>
      <c r="F1351" s="766"/>
      <c r="G1351" s="766"/>
      <c r="H1351" s="810" t="s">
        <v>1030</v>
      </c>
      <c r="I1351" s="782">
        <f>INT(I1350/12)</f>
        <v>1</v>
      </c>
      <c r="J1351" s="781">
        <f>MOD(I1350,12)</f>
        <v>11</v>
      </c>
      <c r="K1351" s="782">
        <f>INT(K1350/12)</f>
        <v>3</v>
      </c>
      <c r="L1351" s="781">
        <f>MOD(K1350,12)</f>
        <v>0</v>
      </c>
      <c r="M1351" s="782">
        <f>INT(M1350/12)</f>
        <v>2</v>
      </c>
      <c r="N1351" s="781">
        <f>MOD(M1350,12)</f>
        <v>0</v>
      </c>
      <c r="O1351" s="782">
        <f>INT(O1350/12)</f>
        <v>1</v>
      </c>
      <c r="P1351" s="781">
        <f>MOD(O1350,12)</f>
        <v>4</v>
      </c>
      <c r="Q1351" s="782">
        <f>INT(Q1350/12)</f>
        <v>1</v>
      </c>
      <c r="R1351" s="781">
        <f>MOD(Q1350,12)</f>
        <v>0</v>
      </c>
      <c r="S1351" s="739"/>
    </row>
    <row r="1352" spans="1:19" s="716" customFormat="1" ht="12.6" customHeight="1">
      <c r="A1352" s="715"/>
      <c r="B1352" s="766"/>
      <c r="C1352" s="766"/>
      <c r="D1352" s="766"/>
      <c r="E1352" s="766"/>
      <c r="F1352" s="766"/>
      <c r="G1352" s="766"/>
      <c r="H1352" s="810"/>
      <c r="I1352" s="782"/>
      <c r="J1352" s="781"/>
      <c r="K1352" s="782"/>
      <c r="L1352" s="781"/>
      <c r="M1352" s="782"/>
      <c r="N1352" s="781"/>
      <c r="O1352" s="782"/>
      <c r="P1352" s="781"/>
      <c r="Q1352" s="782"/>
      <c r="R1352" s="781"/>
      <c r="S1352" s="739"/>
    </row>
    <row r="1353" spans="1:19" s="716" customFormat="1" ht="12.6" customHeight="1">
      <c r="A1353" s="715"/>
      <c r="B1353" s="766" t="s">
        <v>1031</v>
      </c>
      <c r="C1353" s="766"/>
      <c r="D1353" s="766"/>
      <c r="E1353" s="766"/>
      <c r="F1353" s="766"/>
      <c r="G1353" s="766"/>
      <c r="H1353" s="810"/>
      <c r="I1353" s="832">
        <f>J1329+I1351-IF(J1351&lt;2,1)</f>
        <v>132</v>
      </c>
      <c r="J1353" s="831">
        <f>MOD(J1351+10,12)+1</f>
        <v>10</v>
      </c>
      <c r="K1353" s="832">
        <f>L1329+K1351-IF(L1351&lt;2,1)</f>
        <v>131</v>
      </c>
      <c r="L1353" s="831">
        <f>MOD(L1351+10,12)+1</f>
        <v>11</v>
      </c>
      <c r="M1353" s="832">
        <f>N1329+M1351-IF(N1351&lt;2,1)</f>
        <v>132</v>
      </c>
      <c r="N1353" s="831">
        <f>MOD(N1351+10,12)+1</f>
        <v>11</v>
      </c>
      <c r="O1353" s="832">
        <f>P1329+O1351-IF(P1351&lt;2,1)</f>
        <v>132</v>
      </c>
      <c r="P1353" s="831">
        <f>MOD(P1351+10,12)+1</f>
        <v>3</v>
      </c>
      <c r="Q1353" s="832">
        <f>R1329+Q1351-IF(R1351&lt;2,1)</f>
        <v>131</v>
      </c>
      <c r="R1353" s="831">
        <f>MOD(R1351+10,12)+1</f>
        <v>11</v>
      </c>
      <c r="S1353" s="739"/>
    </row>
    <row r="1354" spans="1:19" s="716" customFormat="1" ht="12.6" customHeight="1">
      <c r="A1354" s="715"/>
      <c r="B1354" s="766"/>
      <c r="C1354" s="766"/>
      <c r="D1354" s="766"/>
      <c r="E1354" s="766"/>
      <c r="F1354" s="766"/>
      <c r="G1354" s="766"/>
      <c r="H1354" s="810"/>
      <c r="I1354" s="782"/>
      <c r="J1354" s="781"/>
      <c r="K1354" s="782"/>
      <c r="L1354" s="781"/>
      <c r="M1354" s="782"/>
      <c r="N1354" s="781"/>
      <c r="O1354" s="782"/>
      <c r="P1354" s="781"/>
      <c r="Q1354" s="782"/>
      <c r="R1354" s="781"/>
      <c r="S1354" s="739"/>
    </row>
    <row r="1355" spans="1:19" s="716" customFormat="1" ht="42" customHeight="1">
      <c r="A1355" s="715"/>
      <c r="B1355" s="875" t="s">
        <v>1032</v>
      </c>
      <c r="C1355" s="875"/>
      <c r="D1355" s="875"/>
      <c r="E1355" s="875"/>
      <c r="F1355" s="875"/>
      <c r="G1355" s="875"/>
      <c r="H1355" s="876"/>
      <c r="I1355" s="782"/>
      <c r="J1355" s="781"/>
      <c r="K1355" s="782"/>
      <c r="L1355" s="781"/>
      <c r="M1355" s="782"/>
      <c r="N1355" s="781"/>
      <c r="O1355" s="782"/>
      <c r="P1355" s="781"/>
      <c r="Q1355" s="782"/>
      <c r="R1355" s="781"/>
      <c r="S1355" s="739"/>
    </row>
    <row r="1356" spans="1:19" s="716" customFormat="1" ht="12.6" customHeight="1">
      <c r="A1356" s="715"/>
      <c r="B1356" s="766"/>
      <c r="C1356" s="766"/>
      <c r="D1356" s="766"/>
      <c r="E1356" s="766"/>
      <c r="F1356" s="766"/>
      <c r="G1356" s="766"/>
      <c r="H1356" s="766"/>
      <c r="I1356" s="782"/>
      <c r="J1356" s="781"/>
      <c r="K1356" s="782"/>
      <c r="L1356" s="781"/>
      <c r="M1356" s="782"/>
      <c r="N1356" s="781"/>
      <c r="O1356" s="782"/>
      <c r="P1356" s="781"/>
      <c r="Q1356" s="782"/>
      <c r="R1356" s="781"/>
      <c r="S1356" s="720"/>
    </row>
    <row r="1357" spans="1:19" s="716" customFormat="1" ht="12.6" customHeight="1">
      <c r="A1357" s="715"/>
      <c r="B1357" s="766"/>
      <c r="C1357" s="766"/>
      <c r="D1357" s="766"/>
      <c r="E1357" s="766"/>
      <c r="F1357" s="766"/>
      <c r="G1357" s="766"/>
      <c r="H1357" s="810" t="s">
        <v>1020</v>
      </c>
      <c r="I1357" s="782">
        <f>I1327</f>
        <v>9412</v>
      </c>
      <c r="J1357" s="781"/>
      <c r="K1357" s="782">
        <f>K1327</f>
        <v>9410</v>
      </c>
      <c r="L1357" s="781"/>
      <c r="M1357" s="782">
        <f>M1327</f>
        <v>9412</v>
      </c>
      <c r="N1357" s="781"/>
      <c r="O1357" s="782">
        <f>O1327</f>
        <v>9412</v>
      </c>
      <c r="P1357" s="781"/>
      <c r="Q1357" s="782">
        <f>Q1327</f>
        <v>9412</v>
      </c>
      <c r="R1357" s="781"/>
      <c r="S1357" s="739"/>
    </row>
    <row r="1358" spans="1:19" s="716" customFormat="1" ht="12.6" customHeight="1">
      <c r="A1358" s="715"/>
      <c r="B1358" s="766"/>
      <c r="C1358" s="766"/>
      <c r="D1358" s="766"/>
      <c r="E1358" s="766"/>
      <c r="F1358" s="766"/>
      <c r="G1358" s="766"/>
      <c r="H1358" s="810" t="s">
        <v>1018</v>
      </c>
      <c r="I1358" s="782">
        <f>I1357+I1351</f>
        <v>9413</v>
      </c>
      <c r="J1358" s="781"/>
      <c r="K1358" s="782">
        <f>K1357+K1351</f>
        <v>9413</v>
      </c>
      <c r="L1358" s="781"/>
      <c r="M1358" s="782">
        <f>M1357+M1351</f>
        <v>9414</v>
      </c>
      <c r="N1358" s="781"/>
      <c r="O1358" s="782">
        <f>O1357+O1351</f>
        <v>9413</v>
      </c>
      <c r="P1358" s="781"/>
      <c r="Q1358" s="782">
        <f>Q1357+Q1351</f>
        <v>9413</v>
      </c>
      <c r="R1358" s="781"/>
      <c r="S1358" s="739"/>
    </row>
    <row r="1359" spans="1:19" s="716" customFormat="1" ht="12.6" customHeight="1">
      <c r="A1359" s="715"/>
      <c r="B1359" s="766"/>
      <c r="C1359" s="766"/>
      <c r="D1359" s="766"/>
      <c r="E1359" s="766"/>
      <c r="F1359" s="766"/>
      <c r="G1359" s="766"/>
      <c r="H1359" s="810" t="s">
        <v>1019</v>
      </c>
      <c r="I1359" s="782">
        <f>I1358-IF($I$1328="去上元年數",0,1)</f>
        <v>9412</v>
      </c>
      <c r="J1359" s="781"/>
      <c r="K1359" s="782">
        <f>K1358-IF($I$1328="去上元年數",0,1)</f>
        <v>9412</v>
      </c>
      <c r="L1359" s="781"/>
      <c r="M1359" s="782">
        <f>M1358-IF($I$1328="去上元年數",0,1)</f>
        <v>9413</v>
      </c>
      <c r="N1359" s="781"/>
      <c r="O1359" s="782">
        <f>O1358-IF($I$1328="去上元年數",0,1)</f>
        <v>9412</v>
      </c>
      <c r="P1359" s="781"/>
      <c r="Q1359" s="782">
        <f>Q1358-IF($I$1328="去上元年數",0,1)</f>
        <v>9412</v>
      </c>
      <c r="R1359" s="781"/>
      <c r="S1359" s="739"/>
    </row>
    <row r="1360" spans="1:19" s="716" customFormat="1" ht="12.6" customHeight="1">
      <c r="A1360" s="715"/>
      <c r="B1360" s="766"/>
      <c r="C1360" s="766"/>
      <c r="D1360" s="766"/>
      <c r="E1360" s="766"/>
      <c r="F1360" s="766"/>
      <c r="G1360" s="766"/>
      <c r="H1360" s="810" t="s">
        <v>1004</v>
      </c>
      <c r="I1360" s="782" t="str">
        <f>IF(J1360&lt;=current.year,CHOOSE(current.year-J1360+1,"本年","前年","前前年","前前前年","前前前前年"),CHOOSE(J1360-current.year,"後年","後後年","後後後年","後後後後年"))</f>
        <v>本年</v>
      </c>
      <c r="J1360" s="781">
        <f>I1359+High.origin.year</f>
        <v>132</v>
      </c>
      <c r="K1360" s="782" t="str">
        <f>IF(L1360&lt;=current.year,CHOOSE(current.year-L1360+1,"本年","前年","前前年","前前前年","前前前前年"),CHOOSE(L1360-current.year,"後年","後後年","後後後年","後後後後年"))</f>
        <v>本年</v>
      </c>
      <c r="L1360" s="781">
        <f>K1359+High.origin.year</f>
        <v>132</v>
      </c>
      <c r="M1360" s="782" t="str">
        <f>IF(N1360&lt;=current.year,CHOOSE(current.year-N1360+1,"本年","前年","前前年","前前前年","前前前前年"),CHOOSE(N1360-current.year,"後年","後後年","後後後年","後後後後年"))</f>
        <v>後年</v>
      </c>
      <c r="N1360" s="781">
        <f>M1359+High.origin.year</f>
        <v>133</v>
      </c>
      <c r="O1360" s="782" t="str">
        <f>IF(P1360&lt;=current.year,CHOOSE(current.year-P1360+1,"本年","前年","前前年","前前前年","前前前前年"),CHOOSE(P1360-current.year,"後年","後後年","後後後年","後後後後年"))</f>
        <v>本年</v>
      </c>
      <c r="P1360" s="781">
        <f>O1359+High.origin.year</f>
        <v>132</v>
      </c>
      <c r="Q1360" s="782" t="str">
        <f>IF(R1360&lt;=current.year,CHOOSE(current.year-R1360+1,"本年","前年","前前年","前前前年","前前前前年"),CHOOSE(R1360-current.year,"後年","後後年","後後後年","後後後後年"))</f>
        <v>本年</v>
      </c>
      <c r="R1360" s="781">
        <f>Q1359+High.origin.year</f>
        <v>132</v>
      </c>
      <c r="S1360" s="739"/>
    </row>
    <row r="1361" spans="1:19" s="716" customFormat="1" ht="12.6" customHeight="1">
      <c r="A1361" s="715"/>
      <c r="B1361" s="786" t="s">
        <v>497</v>
      </c>
      <c r="C1361" s="766"/>
      <c r="D1361" s="766"/>
      <c r="E1361" s="766"/>
      <c r="F1361" s="766"/>
      <c r="G1361" s="766"/>
      <c r="H1361" s="766"/>
      <c r="I1361" s="782"/>
      <c r="J1361" s="781"/>
      <c r="K1361" s="782"/>
      <c r="L1361" s="781"/>
      <c r="M1361" s="782"/>
      <c r="N1361" s="781"/>
      <c r="O1361" s="782"/>
      <c r="P1361" s="781"/>
      <c r="Q1361" s="782"/>
      <c r="R1361" s="781"/>
      <c r="S1361" s="739"/>
    </row>
    <row r="1362" spans="1:19" s="716" customFormat="1" ht="13.5" customHeight="1">
      <c r="A1362" s="715"/>
      <c r="B1362" s="766" t="s">
        <v>499</v>
      </c>
      <c r="C1362" s="766"/>
      <c r="D1362" s="766"/>
      <c r="E1362" s="766"/>
      <c r="F1362" s="766"/>
      <c r="G1362" s="766"/>
      <c r="H1362" s="766"/>
      <c r="I1362" s="782">
        <f>INT(I1359/元法)</f>
        <v>2</v>
      </c>
      <c r="J1362" s="781">
        <f>MOD(I1359,元法)</f>
        <v>292</v>
      </c>
      <c r="K1362" s="782">
        <f>INT(K1359/元法)</f>
        <v>2</v>
      </c>
      <c r="L1362" s="781">
        <f>MOD(K1359,元法)</f>
        <v>292</v>
      </c>
      <c r="M1362" s="782">
        <f>INT(M1359/元法)</f>
        <v>2</v>
      </c>
      <c r="N1362" s="781">
        <f>MOD(M1359,元法)</f>
        <v>293</v>
      </c>
      <c r="O1362" s="782">
        <f>INT(O1359/元法)</f>
        <v>2</v>
      </c>
      <c r="P1362" s="781">
        <f>MOD(O1359,元法)</f>
        <v>292</v>
      </c>
      <c r="Q1362" s="782">
        <f>INT(Q1359/元法)</f>
        <v>2</v>
      </c>
      <c r="R1362" s="781">
        <f>MOD(Q1359,元法)</f>
        <v>292</v>
      </c>
      <c r="S1362" s="720"/>
    </row>
    <row r="1363" spans="1:19" s="716" customFormat="1" ht="13.5" customHeight="1">
      <c r="A1363" s="715"/>
      <c r="B1363" s="766" t="s">
        <v>500</v>
      </c>
      <c r="C1363" s="766"/>
      <c r="D1363" s="766"/>
      <c r="E1363" s="766"/>
      <c r="F1363" s="766"/>
      <c r="G1363" s="766"/>
      <c r="H1363" s="766"/>
      <c r="I1363" s="782">
        <f>INT(J1362/紀法)</f>
        <v>0</v>
      </c>
      <c r="J1363" s="781">
        <f>MOD(J1362,紀法)</f>
        <v>292</v>
      </c>
      <c r="K1363" s="782">
        <f>INT(L1362/紀法)</f>
        <v>0</v>
      </c>
      <c r="L1363" s="781">
        <f>MOD(L1362,紀法)</f>
        <v>292</v>
      </c>
      <c r="M1363" s="782">
        <f>INT(N1362/紀法)</f>
        <v>0</v>
      </c>
      <c r="N1363" s="781">
        <f>MOD(N1362,紀法)</f>
        <v>293</v>
      </c>
      <c r="O1363" s="782">
        <f>INT(P1362/紀法)</f>
        <v>0</v>
      </c>
      <c r="P1363" s="781">
        <f>MOD(P1362,紀法)</f>
        <v>292</v>
      </c>
      <c r="Q1363" s="782">
        <f>INT(R1362/紀法)</f>
        <v>0</v>
      </c>
      <c r="R1363" s="781">
        <f>MOD(R1362,紀法)</f>
        <v>292</v>
      </c>
      <c r="S1363" s="720"/>
    </row>
    <row r="1364" spans="1:19" s="716" customFormat="1" ht="13.5" customHeight="1">
      <c r="A1364" s="715"/>
      <c r="B1364" s="766" t="s">
        <v>501</v>
      </c>
      <c r="C1364" s="766"/>
      <c r="D1364" s="766"/>
      <c r="E1364" s="766"/>
      <c r="F1364" s="766"/>
      <c r="G1364" s="766"/>
      <c r="H1364" s="766"/>
      <c r="I1364" s="782" t="str">
        <f>CHOOSE(I1363+1,"天","地","人")</f>
        <v>天</v>
      </c>
      <c r="J1364" s="781"/>
      <c r="K1364" s="782" t="str">
        <f>CHOOSE(K1363+1,"天","地","人")</f>
        <v>天</v>
      </c>
      <c r="L1364" s="781"/>
      <c r="M1364" s="782" t="str">
        <f>CHOOSE(M1363+1,"天","地","人")</f>
        <v>天</v>
      </c>
      <c r="N1364" s="781"/>
      <c r="O1364" s="782" t="str">
        <f>CHOOSE(O1363+1,"天","地","人")</f>
        <v>天</v>
      </c>
      <c r="P1364" s="781"/>
      <c r="Q1364" s="782" t="str">
        <f>CHOOSE(Q1363+1,"天","地","人")</f>
        <v>天</v>
      </c>
      <c r="R1364" s="781"/>
      <c r="S1364" s="720"/>
    </row>
    <row r="1365" spans="1:19" s="716" customFormat="1" ht="13.5" customHeight="1">
      <c r="A1365" s="715"/>
      <c r="B1365" s="766"/>
      <c r="C1365" s="766"/>
      <c r="D1365" s="766"/>
      <c r="E1365" s="766"/>
      <c r="F1365" s="766"/>
      <c r="G1365" s="766"/>
      <c r="H1365" s="766"/>
      <c r="I1365" s="782"/>
      <c r="J1365" s="781"/>
      <c r="K1365" s="782"/>
      <c r="L1365" s="781"/>
      <c r="M1365" s="782"/>
      <c r="N1365" s="781"/>
      <c r="O1365" s="782"/>
      <c r="P1365" s="781"/>
      <c r="Q1365" s="782"/>
      <c r="R1365" s="781"/>
      <c r="S1365" s="720"/>
    </row>
    <row r="1366" spans="1:19" s="716" customFormat="1" ht="13.5" customHeight="1">
      <c r="A1366" s="715"/>
      <c r="B1366" s="766" t="s">
        <v>502</v>
      </c>
      <c r="C1366" s="766"/>
      <c r="D1366" s="766"/>
      <c r="E1366" s="766"/>
      <c r="F1366" s="766"/>
      <c r="G1366" s="766"/>
      <c r="H1366" s="766"/>
      <c r="I1366" s="782">
        <f>INT(J1363/蔀法)</f>
        <v>3</v>
      </c>
      <c r="J1366" s="781">
        <f>MOD(J1363,蔀法)</f>
        <v>64</v>
      </c>
      <c r="K1366" s="782">
        <f>INT(L1363/蔀法)</f>
        <v>3</v>
      </c>
      <c r="L1366" s="781">
        <f>MOD(L1363,蔀法)</f>
        <v>64</v>
      </c>
      <c r="M1366" s="782">
        <f>INT(N1363/蔀法)</f>
        <v>3</v>
      </c>
      <c r="N1366" s="781">
        <f>MOD(N1363,蔀法)</f>
        <v>65</v>
      </c>
      <c r="O1366" s="782">
        <f>INT(P1363/蔀法)</f>
        <v>3</v>
      </c>
      <c r="P1366" s="781">
        <f>MOD(P1363,蔀法)</f>
        <v>64</v>
      </c>
      <c r="Q1366" s="782">
        <f>INT(R1363/蔀法)</f>
        <v>3</v>
      </c>
      <c r="R1366" s="781">
        <f>MOD(R1363,蔀法)</f>
        <v>64</v>
      </c>
      <c r="S1366" s="720"/>
    </row>
    <row r="1367" spans="1:19" s="716" customFormat="1" ht="13.5" customHeight="1">
      <c r="A1367" s="715"/>
      <c r="B1367" s="766" t="s">
        <v>503</v>
      </c>
      <c r="C1367" s="766"/>
      <c r="D1367" s="766"/>
      <c r="E1367" s="766"/>
      <c r="F1367" s="766"/>
      <c r="G1367" s="766"/>
      <c r="H1367" s="766"/>
      <c r="I1367" s="782" t="str">
        <f>CONCATENATE(CHOOSE(MOD(J1367,10)+1,"癸","甲","乙","丙","丁","戊","己","庚","辛","壬"),(CHOOSE(MOD(J1367,12)+1,"亥","子","丑","寅","卯","辰","巳","午","未","申","酉","戌")))</f>
        <v>辛酉</v>
      </c>
      <c r="J1367" s="781">
        <f>MOD(I1366*39,60)+1</f>
        <v>58</v>
      </c>
      <c r="K1367" s="782" t="str">
        <f>CONCATENATE(CHOOSE(MOD(L1367,10)+1,"癸","甲","乙","丙","丁","戊","己","庚","辛","壬"),(CHOOSE(MOD(L1367,12)+1,"亥","子","丑","寅","卯","辰","巳","午","未","申","酉","戌")))</f>
        <v>辛酉</v>
      </c>
      <c r="L1367" s="781">
        <f>MOD(K1366*39,60)+1</f>
        <v>58</v>
      </c>
      <c r="M1367" s="782" t="str">
        <f>CONCATENATE(CHOOSE(MOD(N1367,10)+1,"癸","甲","乙","丙","丁","戊","己","庚","辛","壬"),(CHOOSE(MOD(N1367,12)+1,"亥","子","丑","寅","卯","辰","巳","午","未","申","酉","戌")))</f>
        <v>辛酉</v>
      </c>
      <c r="N1367" s="781">
        <f>MOD(M1366*39,60)+1</f>
        <v>58</v>
      </c>
      <c r="O1367" s="782" t="str">
        <f>CONCATENATE(CHOOSE(MOD(P1367,10)+1,"癸","甲","乙","丙","丁","戊","己","庚","辛","壬"),(CHOOSE(MOD(P1367,12)+1,"亥","子","丑","寅","卯","辰","巳","午","未","申","酉","戌")))</f>
        <v>辛酉</v>
      </c>
      <c r="P1367" s="781">
        <f>MOD(O1366*39,60)+1</f>
        <v>58</v>
      </c>
      <c r="Q1367" s="782" t="str">
        <f>CONCATENATE(CHOOSE(MOD(R1367,10)+1,"癸","甲","乙","丙","丁","戊","己","庚","辛","壬"),(CHOOSE(MOD(R1367,12)+1,"亥","子","丑","寅","卯","辰","巳","午","未","申","酉","戌")))</f>
        <v>辛酉</v>
      </c>
      <c r="R1367" s="781">
        <f>MOD(Q1366*39,60)+1</f>
        <v>58</v>
      </c>
      <c r="S1367" s="720"/>
    </row>
    <row r="1368" spans="1:19" s="716" customFormat="1" ht="13.5" customHeight="1">
      <c r="A1368" s="715"/>
      <c r="B1368" s="766" t="s">
        <v>578</v>
      </c>
      <c r="C1368" s="766"/>
      <c r="D1368" s="766"/>
      <c r="E1368" s="766"/>
      <c r="F1368" s="766"/>
      <c r="G1368" s="766"/>
      <c r="H1368" s="766"/>
      <c r="I1368" s="822">
        <f>J1366+1</f>
        <v>65</v>
      </c>
      <c r="J1368" s="781"/>
      <c r="K1368" s="822">
        <f>L1366+1</f>
        <v>65</v>
      </c>
      <c r="L1368" s="781"/>
      <c r="M1368" s="822">
        <f>N1366+1</f>
        <v>66</v>
      </c>
      <c r="N1368" s="781"/>
      <c r="O1368" s="822">
        <f>P1366+1</f>
        <v>65</v>
      </c>
      <c r="P1368" s="781"/>
      <c r="Q1368" s="822">
        <f>R1366+1</f>
        <v>65</v>
      </c>
      <c r="R1368" s="781"/>
      <c r="S1368" s="720"/>
    </row>
    <row r="1369" spans="1:19" s="716" customFormat="1" ht="13.5" customHeight="1">
      <c r="A1369" s="715"/>
      <c r="B1369" s="766"/>
      <c r="C1369" s="766"/>
      <c r="D1369" s="766"/>
      <c r="E1369" s="766"/>
      <c r="F1369" s="766"/>
      <c r="G1369" s="766"/>
      <c r="H1369" s="766"/>
      <c r="I1369" s="822"/>
      <c r="J1369" s="781"/>
      <c r="K1369" s="822"/>
      <c r="L1369" s="781"/>
      <c r="M1369" s="822"/>
      <c r="N1369" s="781"/>
      <c r="O1369" s="822"/>
      <c r="P1369" s="781"/>
      <c r="Q1369" s="822"/>
      <c r="R1369" s="781"/>
      <c r="S1369" s="739"/>
    </row>
    <row r="1370" spans="1:19" s="716" customFormat="1" ht="13.5" customHeight="1">
      <c r="A1370" s="715"/>
      <c r="B1370" s="786" t="s">
        <v>26</v>
      </c>
      <c r="C1370" s="766"/>
      <c r="D1370" s="766"/>
      <c r="E1370" s="766"/>
      <c r="F1370" s="766"/>
      <c r="G1370" s="766"/>
      <c r="H1370" s="766"/>
      <c r="I1370" s="822"/>
      <c r="J1370" s="781"/>
      <c r="K1370" s="822"/>
      <c r="L1370" s="781"/>
      <c r="M1370" s="822"/>
      <c r="N1370" s="781"/>
      <c r="O1370" s="822"/>
      <c r="P1370" s="781"/>
      <c r="Q1370" s="822"/>
      <c r="R1370" s="781"/>
      <c r="S1370" s="739"/>
    </row>
    <row r="1371" spans="1:19" s="716" customFormat="1" ht="13.5" customHeight="1">
      <c r="A1371" s="715"/>
      <c r="B1371" s="766" t="s">
        <v>525</v>
      </c>
      <c r="C1371" s="766"/>
      <c r="D1371" s="766"/>
      <c r="E1371" s="766"/>
      <c r="F1371" s="766"/>
      <c r="G1371" s="766"/>
      <c r="H1371" s="766"/>
      <c r="I1371" s="782">
        <f>I1368-1</f>
        <v>64</v>
      </c>
      <c r="J1371" s="781"/>
      <c r="K1371" s="782">
        <f>K1368-1</f>
        <v>64</v>
      </c>
      <c r="L1371" s="781"/>
      <c r="M1371" s="782">
        <f>M1368-1</f>
        <v>65</v>
      </c>
      <c r="N1371" s="781"/>
      <c r="O1371" s="782">
        <f>O1368-1</f>
        <v>64</v>
      </c>
      <c r="P1371" s="781"/>
      <c r="Q1371" s="782">
        <f>Q1368-1</f>
        <v>64</v>
      </c>
      <c r="R1371" s="781"/>
      <c r="S1371" s="720"/>
    </row>
    <row r="1372" spans="1:19" s="716" customFormat="1" ht="13.5" customHeight="1">
      <c r="A1372" s="715"/>
      <c r="B1372" s="766" t="s">
        <v>526</v>
      </c>
      <c r="C1372" s="766"/>
      <c r="D1372" s="766"/>
      <c r="E1372" s="766"/>
      <c r="F1372" s="766"/>
      <c r="G1372" s="766"/>
      <c r="H1372" s="766"/>
      <c r="I1372" s="782">
        <f>I1371*章月</f>
        <v>15040</v>
      </c>
      <c r="J1372" s="781"/>
      <c r="K1372" s="782">
        <f>K1371*章月</f>
        <v>15040</v>
      </c>
      <c r="L1372" s="781"/>
      <c r="M1372" s="782">
        <f>M1371*章月</f>
        <v>15275</v>
      </c>
      <c r="N1372" s="781"/>
      <c r="O1372" s="782">
        <f>O1371*章月</f>
        <v>15040</v>
      </c>
      <c r="P1372" s="781"/>
      <c r="Q1372" s="782">
        <f>Q1371*章月</f>
        <v>15040</v>
      </c>
      <c r="R1372" s="781"/>
      <c r="S1372" s="720"/>
    </row>
    <row r="1373" spans="1:19" s="716" customFormat="1" ht="13.5" customHeight="1">
      <c r="A1373" s="715"/>
      <c r="B1373" s="766" t="s">
        <v>527</v>
      </c>
      <c r="C1373" s="766"/>
      <c r="D1373" s="766"/>
      <c r="E1373" s="766"/>
      <c r="F1373" s="766"/>
      <c r="G1373" s="766"/>
      <c r="H1373" s="766"/>
      <c r="I1373" s="782">
        <f>INT(I1372/章法)</f>
        <v>791</v>
      </c>
      <c r="J1373" s="781">
        <f>MOD(I1372,章法)</f>
        <v>11</v>
      </c>
      <c r="K1373" s="782">
        <f>INT(K1372/章法)</f>
        <v>791</v>
      </c>
      <c r="L1373" s="781">
        <f>MOD(K1372,章法)</f>
        <v>11</v>
      </c>
      <c r="M1373" s="782">
        <f>INT(M1372/章法)</f>
        <v>803</v>
      </c>
      <c r="N1373" s="781">
        <f>MOD(M1372,章法)</f>
        <v>18</v>
      </c>
      <c r="O1373" s="782">
        <f>INT(O1372/章法)</f>
        <v>791</v>
      </c>
      <c r="P1373" s="781">
        <f>MOD(O1372,章法)</f>
        <v>11</v>
      </c>
      <c r="Q1373" s="782">
        <f>INT(Q1372/章法)</f>
        <v>791</v>
      </c>
      <c r="R1373" s="781">
        <f>MOD(Q1372,章法)</f>
        <v>11</v>
      </c>
      <c r="S1373" s="720"/>
    </row>
    <row r="1374" spans="1:19" s="716" customFormat="1" ht="13.5" customHeight="1">
      <c r="A1374" s="715"/>
      <c r="B1374" s="766" t="s">
        <v>528</v>
      </c>
      <c r="C1374" s="766"/>
      <c r="D1374" s="766"/>
      <c r="E1374" s="766"/>
      <c r="F1374" s="766"/>
      <c r="G1374" s="766"/>
      <c r="H1374" s="766"/>
      <c r="I1374" s="782" t="b">
        <f>J1373&gt;=12</f>
        <v>0</v>
      </c>
      <c r="J1374" s="781"/>
      <c r="K1374" s="782" t="b">
        <f>L1373&gt;=12</f>
        <v>0</v>
      </c>
      <c r="L1374" s="781"/>
      <c r="M1374" s="782" t="b">
        <f>N1373&gt;=12</f>
        <v>1</v>
      </c>
      <c r="N1374" s="781"/>
      <c r="O1374" s="782" t="b">
        <f>P1373&gt;=12</f>
        <v>0</v>
      </c>
      <c r="P1374" s="781"/>
      <c r="Q1374" s="782" t="b">
        <f>R1373&gt;=12</f>
        <v>0</v>
      </c>
      <c r="R1374" s="781"/>
      <c r="S1374" s="720"/>
    </row>
    <row r="1375" spans="1:19" s="716" customFormat="1" ht="12.6" customHeight="1">
      <c r="A1375" s="715"/>
      <c r="B1375" s="766"/>
      <c r="C1375" s="766"/>
      <c r="D1375" s="766"/>
      <c r="E1375" s="766"/>
      <c r="F1375" s="766"/>
      <c r="G1375" s="766"/>
      <c r="H1375" s="766"/>
      <c r="I1375" s="782"/>
      <c r="J1375" s="781"/>
      <c r="K1375" s="782"/>
      <c r="L1375" s="781"/>
      <c r="M1375" s="782"/>
      <c r="N1375" s="781"/>
      <c r="O1375" s="782"/>
      <c r="P1375" s="781"/>
      <c r="Q1375" s="782"/>
      <c r="R1375" s="781"/>
      <c r="S1375" s="739"/>
    </row>
    <row r="1376" spans="1:19" s="716" customFormat="1" ht="12.6" customHeight="1">
      <c r="A1376" s="715"/>
      <c r="B1376" s="786" t="s">
        <v>558</v>
      </c>
      <c r="C1376" s="766"/>
      <c r="D1376" s="766"/>
      <c r="E1376" s="766"/>
      <c r="F1376" s="766"/>
      <c r="G1376" s="766"/>
      <c r="H1376" s="766"/>
      <c r="I1376" s="782"/>
      <c r="J1376" s="781"/>
      <c r="K1376" s="782"/>
      <c r="L1376" s="781"/>
      <c r="M1376" s="782"/>
      <c r="N1376" s="781"/>
      <c r="O1376" s="782"/>
      <c r="P1376" s="781"/>
      <c r="Q1376" s="782"/>
      <c r="R1376" s="781"/>
      <c r="S1376" s="739"/>
    </row>
    <row r="1377" spans="1:19" s="716" customFormat="1" ht="12.6" customHeight="1">
      <c r="A1377" s="715"/>
      <c r="B1377" s="766" t="s">
        <v>561</v>
      </c>
      <c r="C1377" s="766"/>
      <c r="D1377" s="766"/>
      <c r="E1377" s="766"/>
      <c r="F1377" s="766"/>
      <c r="G1377" s="766"/>
      <c r="H1377" s="766"/>
      <c r="I1377" s="782">
        <f>章法-J1373</f>
        <v>8</v>
      </c>
      <c r="J1377" s="781"/>
      <c r="K1377" s="782">
        <f>章法-L1373</f>
        <v>8</v>
      </c>
      <c r="L1377" s="781"/>
      <c r="M1377" s="782">
        <f>章法-N1373</f>
        <v>1</v>
      </c>
      <c r="N1377" s="781"/>
      <c r="O1377" s="782">
        <f>章法-P1373</f>
        <v>8</v>
      </c>
      <c r="P1377" s="781"/>
      <c r="Q1377" s="782">
        <f>章法-R1373</f>
        <v>8</v>
      </c>
      <c r="R1377" s="781"/>
      <c r="S1377" s="720"/>
    </row>
    <row r="1378" spans="1:19" s="716" customFormat="1" ht="12.6" customHeight="1">
      <c r="A1378" s="715"/>
      <c r="B1378" s="766" t="s">
        <v>562</v>
      </c>
      <c r="C1378" s="766"/>
      <c r="D1378" s="766"/>
      <c r="E1378" s="766"/>
      <c r="F1378" s="766"/>
      <c r="G1378" s="766"/>
      <c r="H1378" s="766"/>
      <c r="I1378" s="782">
        <f>I1377*12</f>
        <v>96</v>
      </c>
      <c r="J1378" s="781"/>
      <c r="K1378" s="782">
        <f>K1377*12</f>
        <v>96</v>
      </c>
      <c r="L1378" s="781"/>
      <c r="M1378" s="782">
        <f>M1377*12</f>
        <v>12</v>
      </c>
      <c r="N1378" s="781"/>
      <c r="O1378" s="782">
        <f>O1377*12</f>
        <v>96</v>
      </c>
      <c r="P1378" s="781"/>
      <c r="Q1378" s="782">
        <f>Q1377*12</f>
        <v>96</v>
      </c>
      <c r="R1378" s="781"/>
      <c r="S1378" s="720"/>
    </row>
    <row r="1379" spans="1:19" s="716" customFormat="1" ht="12.6" customHeight="1">
      <c r="A1379" s="715"/>
      <c r="B1379" s="766" t="s">
        <v>563</v>
      </c>
      <c r="C1379" s="766"/>
      <c r="D1379" s="766"/>
      <c r="E1379" s="766"/>
      <c r="F1379" s="766"/>
      <c r="G1379" s="766"/>
      <c r="H1379" s="766"/>
      <c r="I1379" s="782">
        <f>INT(I1378/7)</f>
        <v>13</v>
      </c>
      <c r="J1379" s="781">
        <f>MOD(I1378,7)</f>
        <v>5</v>
      </c>
      <c r="K1379" s="782">
        <f>INT(K1378/7)</f>
        <v>13</v>
      </c>
      <c r="L1379" s="781">
        <f>MOD(K1378,7)</f>
        <v>5</v>
      </c>
      <c r="M1379" s="782">
        <f>INT(M1378/7)</f>
        <v>1</v>
      </c>
      <c r="N1379" s="781">
        <f>MOD(M1378,7)</f>
        <v>5</v>
      </c>
      <c r="O1379" s="782">
        <f>INT(O1378/7)</f>
        <v>13</v>
      </c>
      <c r="P1379" s="781">
        <f>MOD(O1378,7)</f>
        <v>5</v>
      </c>
      <c r="Q1379" s="782">
        <f>INT(Q1378/7)</f>
        <v>13</v>
      </c>
      <c r="R1379" s="781">
        <f>MOD(Q1378,7)</f>
        <v>5</v>
      </c>
      <c r="S1379" s="720"/>
    </row>
    <row r="1380" spans="1:19" s="716" customFormat="1" ht="12.6" customHeight="1">
      <c r="A1380" s="715"/>
      <c r="B1380" s="766" t="s">
        <v>564</v>
      </c>
      <c r="C1380" s="766"/>
      <c r="D1380" s="766"/>
      <c r="E1380" s="766"/>
      <c r="F1380" s="766"/>
      <c r="G1380" s="766"/>
      <c r="H1380" s="766"/>
      <c r="I1380" s="782">
        <f>I1379+IF(J1379&gt;=4,1)</f>
        <v>14</v>
      </c>
      <c r="J1380" s="781"/>
      <c r="K1380" s="782">
        <f>K1379+IF(L1379&gt;=4,1)</f>
        <v>14</v>
      </c>
      <c r="L1380" s="781"/>
      <c r="M1380" s="782">
        <f>M1379+IF(N1379&gt;=4,1)</f>
        <v>2</v>
      </c>
      <c r="N1380" s="781"/>
      <c r="O1380" s="782">
        <f>O1379+IF(P1379&gt;=4,1)</f>
        <v>14</v>
      </c>
      <c r="P1380" s="781"/>
      <c r="Q1380" s="782">
        <f>Q1379+IF(R1379&gt;=4,1)</f>
        <v>14</v>
      </c>
      <c r="R1380" s="781"/>
      <c r="S1380" s="720"/>
    </row>
    <row r="1381" spans="1:19" s="716" customFormat="1" ht="12.6" customHeight="1">
      <c r="A1381" s="715"/>
      <c r="B1381" s="766" t="s">
        <v>565</v>
      </c>
      <c r="C1381" s="766"/>
      <c r="D1381" s="766"/>
      <c r="E1381" s="766"/>
      <c r="F1381" s="766"/>
      <c r="G1381" s="766"/>
      <c r="H1381" s="766"/>
      <c r="I1381" s="833">
        <f>IF(11+I1380&lt;13,11+I1380,I1380-2)</f>
        <v>12</v>
      </c>
      <c r="J1381" s="781"/>
      <c r="K1381" s="833">
        <f>IF(11+K1380&lt;13,11+K1380,K1380-2)</f>
        <v>12</v>
      </c>
      <c r="L1381" s="781"/>
      <c r="M1381" s="833">
        <f>IF(11+M1380&lt;13,11+M1380,M1380-2)</f>
        <v>0</v>
      </c>
      <c r="N1381" s="781"/>
      <c r="O1381" s="833">
        <f>IF(11+O1380&lt;13,11+O1380,O1380-2)</f>
        <v>12</v>
      </c>
      <c r="P1381" s="781"/>
      <c r="Q1381" s="833">
        <f>IF(11+Q1380&lt;13,11+Q1380,Q1380-2)</f>
        <v>12</v>
      </c>
      <c r="R1381" s="781"/>
      <c r="S1381" s="720"/>
    </row>
    <row r="1382" spans="1:19" s="716" customFormat="1" ht="12.6" customHeight="1">
      <c r="A1382" s="715"/>
      <c r="B1382" s="766"/>
      <c r="C1382" s="766"/>
      <c r="D1382" s="766"/>
      <c r="E1382" s="766"/>
      <c r="F1382" s="766"/>
      <c r="G1382" s="766"/>
      <c r="H1382" s="766"/>
      <c r="I1382" s="782"/>
      <c r="J1382" s="781"/>
      <c r="K1382" s="782"/>
      <c r="L1382" s="781"/>
      <c r="M1382" s="782"/>
      <c r="N1382" s="781"/>
      <c r="O1382" s="782"/>
      <c r="P1382" s="781"/>
      <c r="Q1382" s="782"/>
      <c r="R1382" s="781"/>
      <c r="S1382" s="720"/>
    </row>
    <row r="1383" spans="1:19" s="716" customFormat="1" ht="12.6" customHeight="1">
      <c r="A1383" s="715"/>
      <c r="B1383" s="766" t="s">
        <v>98</v>
      </c>
      <c r="C1383" s="766"/>
      <c r="D1383" s="766"/>
      <c r="E1383" s="766"/>
      <c r="F1383" s="766"/>
      <c r="G1383" s="766"/>
      <c r="H1383" s="766"/>
      <c r="I1383" s="782"/>
      <c r="J1383" s="781"/>
      <c r="K1383" s="782"/>
      <c r="L1383" s="781"/>
      <c r="M1383" s="782"/>
      <c r="N1383" s="781"/>
      <c r="O1383" s="782"/>
      <c r="P1383" s="781"/>
      <c r="Q1383" s="782"/>
      <c r="R1383" s="781"/>
      <c r="S1383" s="720"/>
    </row>
    <row r="1384" spans="1:19" s="48" customFormat="1">
      <c r="A1384"/>
      <c r="B1384"/>
      <c r="C1384"/>
      <c r="D1384"/>
      <c r="E1384"/>
      <c r="F1384"/>
      <c r="G1384"/>
      <c r="I1384" s="767"/>
      <c r="J1384" s="769"/>
      <c r="K1384" s="767"/>
      <c r="L1384" s="769"/>
      <c r="M1384" s="767"/>
      <c r="N1384" s="769"/>
      <c r="O1384" s="767"/>
      <c r="P1384" s="769"/>
      <c r="Q1384" s="767"/>
      <c r="R1384" s="769"/>
    </row>
    <row r="1385" spans="1:19" s="48" customFormat="1">
      <c r="A1385"/>
      <c r="B1385" t="s">
        <v>1005</v>
      </c>
      <c r="C1385"/>
      <c r="D1385"/>
      <c r="E1385"/>
      <c r="F1385"/>
      <c r="G1385"/>
      <c r="I1385" s="828" t="s">
        <v>1006</v>
      </c>
      <c r="J1385" s="823" t="b">
        <f>J1351=I1380</f>
        <v>0</v>
      </c>
      <c r="K1385" s="828" t="s">
        <v>1006</v>
      </c>
      <c r="L1385" s="823" t="b">
        <f>L1351=K1380</f>
        <v>0</v>
      </c>
      <c r="M1385" s="828" t="s">
        <v>1006</v>
      </c>
      <c r="N1385" s="823" t="b">
        <f>N1351=M1380</f>
        <v>0</v>
      </c>
      <c r="O1385" s="828" t="s">
        <v>1006</v>
      </c>
      <c r="P1385" s="823" t="b">
        <f>P1351=O1380</f>
        <v>0</v>
      </c>
      <c r="Q1385" s="828" t="s">
        <v>1006</v>
      </c>
      <c r="R1385" s="823" t="b">
        <f>R1351=Q1380</f>
        <v>0</v>
      </c>
    </row>
    <row r="1386" spans="1:19" s="48" customFormat="1">
      <c r="A1386"/>
      <c r="B1386"/>
      <c r="C1386"/>
      <c r="D1386"/>
      <c r="E1386"/>
      <c r="F1386"/>
      <c r="G1386"/>
      <c r="I1386" s="827" t="s">
        <v>793</v>
      </c>
      <c r="J1386" s="824"/>
      <c r="K1386" s="827" t="s">
        <v>793</v>
      </c>
      <c r="L1386" s="824"/>
      <c r="M1386" s="827" t="s">
        <v>793</v>
      </c>
      <c r="N1386" s="824"/>
      <c r="O1386" s="827" t="s">
        <v>793</v>
      </c>
      <c r="P1386" s="824"/>
      <c r="Q1386" s="827" t="s">
        <v>793</v>
      </c>
      <c r="R1386" s="824"/>
    </row>
    <row r="1387" spans="1:19" s="48" customFormat="1">
      <c r="A1387"/>
      <c r="B1387"/>
      <c r="C1387"/>
      <c r="D1387"/>
      <c r="E1387"/>
      <c r="F1387"/>
      <c r="G1387"/>
      <c r="I1387" s="882" t="str">
        <f>CONCATENATE(IF(I1353&lt;=current.year,CHOOSE(current.year-I1353+1,"本年","前年","前前年","前前前年","前前前前年"),CHOOSE(I1353-current.year,"後年","後後年","後後後年","後後後後年")),IF(J1385=TRUE(),"閏",""),CHOOSE(J1353,"正","二","三","四","五","六","七","八","九","十","十一","十二"),"月")</f>
        <v>本年十月</v>
      </c>
      <c r="J1387" s="883"/>
      <c r="K1387" s="882" t="str">
        <f>CONCATENATE(IF(K1353&lt;=current.year,CHOOSE(current.year-K1353+1,"本年","前年","前前年","前前前年","前前前前年"),CHOOSE(K1353-current.year,"後年","後後年","後後後年","後後後後年")),IF(L1385=TRUE(),"閏",""),CHOOSE(L1353,"正","二","三","四","五","六","七","八","九","十","十一","十二"),"月")</f>
        <v>前年十一月</v>
      </c>
      <c r="L1387" s="883"/>
      <c r="M1387" s="882" t="str">
        <f>CONCATENATE(IF(M1353&lt;=current.year,CHOOSE(current.year-M1353+1,"本年","前年","前前年","前前前年","前前前前年"),CHOOSE(M1353-current.year,"後年","後後年","後後後年","後後後後年")),IF(N1385=TRUE(),"閏",""),CHOOSE(N1353,"正","二","三","四","五","六","七","八","九","十","十一","十二"),"月")</f>
        <v>本年十一月</v>
      </c>
      <c r="N1387" s="883"/>
      <c r="O1387" s="882" t="str">
        <f>CONCATENATE(IF(O1353&lt;=current.year,CHOOSE(current.year-O1353+1,"本年","前年","前前年","前前前年","前前前前年"),CHOOSE(O1353-current.year,"後年","後後年","後後後年","後後後後年")),IF(P1385=TRUE(),"閏",""),CHOOSE(P1353,"正","二","三","四","五","六","七","八","九","十","十一","十二"),"月")</f>
        <v>本年三月</v>
      </c>
      <c r="P1387" s="883"/>
      <c r="Q1387" s="882" t="str">
        <f>CONCATENATE(IF(Q1353&lt;=current.year,CHOOSE(current.year-Q1353+1,"本年","前年","前前年","前前前年","前前前前年"),CHOOSE(Q1353-current.year,"後年","後後年","後後後年","後後後後年")),IF(R1385=TRUE(),"閏",""),CHOOSE(R1353,"正","二","三","四","五","六","七","八","九","十","十一","十二"),"月")</f>
        <v>前年十一月</v>
      </c>
      <c r="R1387" s="883"/>
    </row>
    <row r="1388" spans="1:19" s="48" customFormat="1">
      <c r="A1388"/>
      <c r="B1388"/>
      <c r="C1388"/>
      <c r="D1388"/>
      <c r="E1388"/>
      <c r="F1388"/>
      <c r="G1388"/>
      <c r="I1388" s="789"/>
      <c r="J1388" s="826"/>
      <c r="K1388" s="789"/>
      <c r="L1388" s="826"/>
      <c r="M1388" s="789"/>
      <c r="N1388" s="826"/>
      <c r="O1388" s="789"/>
      <c r="P1388" s="826"/>
      <c r="Q1388" s="789"/>
      <c r="R1388" s="826"/>
    </row>
    <row r="1389" spans="1:19" s="48" customFormat="1">
      <c r="A1389"/>
      <c r="B1389" s="600" t="s">
        <v>1007</v>
      </c>
      <c r="I1389" s="819" t="s">
        <v>995</v>
      </c>
      <c r="J1389" s="769"/>
      <c r="K1389" s="767" t="s">
        <v>995</v>
      </c>
      <c r="L1389" s="769"/>
      <c r="M1389" s="767" t="s">
        <v>995</v>
      </c>
      <c r="N1389" s="769"/>
      <c r="O1389" s="767" t="str">
        <f>IF(O1334="evening","morning","evening")</f>
        <v>morning</v>
      </c>
      <c r="P1389" s="769"/>
      <c r="Q1389" s="767" t="str">
        <f>IF(Q1334="evening","morning","evening")</f>
        <v>morning</v>
      </c>
      <c r="R1389" s="769"/>
    </row>
    <row r="1390" spans="1:19" s="48" customFormat="1">
      <c r="A1390"/>
      <c r="B1390" s="15"/>
      <c r="I1390" s="778"/>
      <c r="J1390" s="205"/>
      <c r="K1390" s="778"/>
      <c r="L1390" s="205"/>
      <c r="M1390" s="778"/>
      <c r="O1390" s="778"/>
      <c r="P1390" s="205"/>
      <c r="R1390" s="205"/>
    </row>
    <row r="1391" spans="1:19" s="742" customFormat="1" ht="13.95" customHeight="1">
      <c r="A1391" s="741" t="s">
        <v>1009</v>
      </c>
      <c r="B1391" s="701" t="s">
        <v>1008</v>
      </c>
      <c r="I1391" s="869" t="s">
        <v>184</v>
      </c>
      <c r="J1391" s="870"/>
      <c r="K1391" s="880" t="s">
        <v>185</v>
      </c>
      <c r="L1391" s="881"/>
      <c r="M1391" s="869" t="s">
        <v>186</v>
      </c>
      <c r="N1391" s="870"/>
      <c r="O1391" s="880" t="s">
        <v>187</v>
      </c>
      <c r="P1391" s="881"/>
      <c r="Q1391" s="869" t="s">
        <v>188</v>
      </c>
      <c r="R1391" s="870"/>
      <c r="S1391" s="800"/>
    </row>
    <row r="1392" spans="1:19" ht="13.95" customHeight="1">
      <c r="I1392" s="767"/>
      <c r="J1392" s="769"/>
      <c r="K1392" s="767"/>
      <c r="L1392" s="769"/>
      <c r="M1392" s="767"/>
      <c r="N1392" s="769"/>
      <c r="O1392" s="767"/>
      <c r="P1392" s="769"/>
      <c r="Q1392" s="767"/>
      <c r="R1392" s="769"/>
    </row>
    <row r="1393" spans="1:19" ht="56.4" customHeight="1">
      <c r="B1393" s="871" t="s">
        <v>1016</v>
      </c>
      <c r="C1393" s="871"/>
      <c r="D1393" s="871"/>
      <c r="E1393" s="871"/>
      <c r="F1393" s="871"/>
      <c r="G1393" s="871"/>
      <c r="H1393" s="872"/>
      <c r="I1393" s="782"/>
      <c r="J1393" s="781"/>
      <c r="K1393" s="782"/>
      <c r="L1393" s="781"/>
      <c r="M1393" s="782"/>
      <c r="N1393" s="781"/>
      <c r="O1393" s="782"/>
      <c r="P1393" s="781"/>
      <c r="Q1393" s="782"/>
      <c r="R1393" s="781"/>
    </row>
    <row r="1394" spans="1:19" s="716" customFormat="1" ht="12.6" customHeight="1">
      <c r="A1394" s="715"/>
      <c r="B1394" s="766"/>
      <c r="C1394" s="766"/>
      <c r="D1394" s="766"/>
      <c r="E1394" s="766"/>
      <c r="F1394" s="766"/>
      <c r="G1394" s="766"/>
      <c r="H1394" s="766"/>
      <c r="I1394" s="832"/>
      <c r="J1394" s="839"/>
      <c r="K1394" s="782"/>
      <c r="L1394" s="781"/>
      <c r="M1394" s="782"/>
      <c r="N1394" s="781"/>
      <c r="O1394" s="782"/>
      <c r="P1394" s="781"/>
      <c r="Q1394" s="782"/>
      <c r="R1394" s="781"/>
      <c r="S1394" s="720"/>
    </row>
    <row r="1395" spans="1:19" s="716" customFormat="1" ht="12.6" customHeight="1">
      <c r="A1395" s="715"/>
      <c r="B1395" s="786" t="s">
        <v>27</v>
      </c>
      <c r="C1395" s="766"/>
      <c r="D1395" s="766"/>
      <c r="E1395" s="766"/>
      <c r="F1395" s="766"/>
      <c r="G1395" s="766"/>
      <c r="H1395" s="766"/>
      <c r="I1395" s="782"/>
      <c r="J1395" s="781"/>
      <c r="K1395" s="782"/>
      <c r="L1395" s="781"/>
      <c r="M1395" s="782"/>
      <c r="N1395" s="781"/>
      <c r="O1395" s="782"/>
      <c r="P1395" s="781"/>
      <c r="Q1395" s="782"/>
      <c r="R1395" s="781"/>
      <c r="S1395" s="720"/>
    </row>
    <row r="1396" spans="1:19" s="716" customFormat="1" ht="14.25" customHeight="1">
      <c r="A1396" s="715"/>
      <c r="B1396" s="766" t="s">
        <v>532</v>
      </c>
      <c r="C1396" s="766"/>
      <c r="D1396" s="766"/>
      <c r="E1396" s="766"/>
      <c r="F1396" s="766"/>
      <c r="G1396" s="766"/>
      <c r="H1396" s="766"/>
      <c r="I1396" s="782">
        <f>I1373</f>
        <v>791</v>
      </c>
      <c r="J1396" s="781"/>
      <c r="K1396" s="782">
        <f t="shared" ref="K1396" si="199">K1373</f>
        <v>791</v>
      </c>
      <c r="L1396" s="781"/>
      <c r="M1396" s="782">
        <f t="shared" ref="M1396" si="200">M1373</f>
        <v>803</v>
      </c>
      <c r="N1396" s="781"/>
      <c r="O1396" s="782">
        <f t="shared" ref="O1396" si="201">O1373</f>
        <v>791</v>
      </c>
      <c r="P1396" s="781"/>
      <c r="Q1396" s="782">
        <f t="shared" ref="Q1396" si="202">Q1373</f>
        <v>791</v>
      </c>
      <c r="R1396" s="781"/>
      <c r="S1396" s="720"/>
    </row>
    <row r="1397" spans="1:19" s="716" customFormat="1" ht="14.25" customHeight="1">
      <c r="A1397" s="715"/>
      <c r="B1397" s="766" t="s">
        <v>533</v>
      </c>
      <c r="C1397" s="766"/>
      <c r="D1397" s="766"/>
      <c r="E1397" s="766"/>
      <c r="F1397" s="766"/>
      <c r="G1397" s="766"/>
      <c r="H1397" s="766"/>
      <c r="I1397" s="782">
        <f>I1396*蔀日</f>
        <v>21957369</v>
      </c>
      <c r="J1397" s="781"/>
      <c r="K1397" s="782">
        <f>K1396*蔀日</f>
        <v>21957369</v>
      </c>
      <c r="L1397" s="781"/>
      <c r="M1397" s="782">
        <f>M1396*蔀日</f>
        <v>22290477</v>
      </c>
      <c r="N1397" s="781"/>
      <c r="O1397" s="782">
        <f>O1396*蔀日</f>
        <v>21957369</v>
      </c>
      <c r="P1397" s="781"/>
      <c r="Q1397" s="782">
        <f>Q1396*蔀日</f>
        <v>21957369</v>
      </c>
      <c r="R1397" s="781"/>
      <c r="S1397" s="720"/>
    </row>
    <row r="1398" spans="1:19" s="716" customFormat="1" ht="14.25" customHeight="1">
      <c r="A1398" s="715"/>
      <c r="B1398" s="766" t="s">
        <v>534</v>
      </c>
      <c r="C1398" s="766"/>
      <c r="D1398" s="766"/>
      <c r="E1398" s="766"/>
      <c r="F1398" s="766"/>
      <c r="G1398" s="766"/>
      <c r="H1398" s="766"/>
      <c r="I1398" s="782">
        <f>INT(I1397/蔀月)</f>
        <v>23358</v>
      </c>
      <c r="J1398" s="781">
        <f>MOD(I1397,蔀月)</f>
        <v>849</v>
      </c>
      <c r="K1398" s="782">
        <f>INT(K1397/蔀月)</f>
        <v>23358</v>
      </c>
      <c r="L1398" s="781">
        <f>MOD(K1397,蔀月)</f>
        <v>849</v>
      </c>
      <c r="M1398" s="782">
        <f>INT(M1397/蔀月)</f>
        <v>23713</v>
      </c>
      <c r="N1398" s="781">
        <f>MOD(M1397,蔀月)</f>
        <v>257</v>
      </c>
      <c r="O1398" s="782">
        <f>INT(O1397/蔀月)</f>
        <v>23358</v>
      </c>
      <c r="P1398" s="781">
        <f>MOD(O1397,蔀月)</f>
        <v>849</v>
      </c>
      <c r="Q1398" s="782">
        <f>INT(Q1397/蔀月)</f>
        <v>23358</v>
      </c>
      <c r="R1398" s="781">
        <f>MOD(Q1397,蔀月)</f>
        <v>849</v>
      </c>
      <c r="S1398" s="720"/>
    </row>
    <row r="1399" spans="1:19" s="716" customFormat="1" ht="14.25" customHeight="1">
      <c r="A1399" s="715"/>
      <c r="B1399" s="766" t="s">
        <v>535</v>
      </c>
      <c r="C1399" s="766"/>
      <c r="D1399" s="766"/>
      <c r="E1399" s="766"/>
      <c r="F1399" s="766"/>
      <c r="G1399" s="766"/>
      <c r="H1399" s="766"/>
      <c r="I1399" s="782">
        <f>MOD(I1398,60)</f>
        <v>18</v>
      </c>
      <c r="J1399" s="781"/>
      <c r="K1399" s="782">
        <f t="shared" ref="K1399" si="203">MOD(K1398,60)</f>
        <v>18</v>
      </c>
      <c r="L1399" s="781"/>
      <c r="M1399" s="782">
        <f t="shared" ref="M1399" si="204">MOD(M1398,60)</f>
        <v>13</v>
      </c>
      <c r="N1399" s="781"/>
      <c r="O1399" s="782">
        <f t="shared" ref="O1399" si="205">MOD(O1398,60)</f>
        <v>18</v>
      </c>
      <c r="P1399" s="781"/>
      <c r="Q1399" s="782">
        <f t="shared" ref="Q1399" si="206">MOD(Q1398,60)</f>
        <v>18</v>
      </c>
      <c r="R1399" s="781"/>
      <c r="S1399" s="720"/>
    </row>
    <row r="1400" spans="1:19" s="716" customFormat="1" ht="14.25" customHeight="1">
      <c r="A1400" s="715"/>
      <c r="B1400" s="766" t="s">
        <v>536</v>
      </c>
      <c r="C1400" s="766"/>
      <c r="D1400" s="766"/>
      <c r="E1400" s="766"/>
      <c r="F1400" s="766"/>
      <c r="G1400" s="766"/>
      <c r="H1400" s="766"/>
      <c r="I1400" s="829" t="str">
        <f>CONCATENATE(CHOOSE(MOD(J1400,10)+1,"癸","甲","乙","丙","丁","戊","己","庚","辛","壬"),(CHOOSE(MOD(J1400,12)+1,"亥","子","丑","寅","卯","辰","巳","午","未","申","酉","戌")))</f>
        <v>己卯</v>
      </c>
      <c r="J1400" s="830">
        <f>MOD(I1399+J1367-1,60)+1</f>
        <v>16</v>
      </c>
      <c r="K1400" s="829" t="str">
        <f t="shared" ref="K1400" si="207">CONCATENATE(CHOOSE(MOD(L1400,10)+1,"癸","甲","乙","丙","丁","戊","己","庚","辛","壬"),(CHOOSE(MOD(L1400,12)+1,"亥","子","丑","寅","卯","辰","巳","午","未","申","酉","戌")))</f>
        <v>己卯</v>
      </c>
      <c r="L1400" s="830">
        <f t="shared" ref="L1400" si="208">MOD(K1399+L1367-1,60)+1</f>
        <v>16</v>
      </c>
      <c r="M1400" s="829" t="str">
        <f t="shared" ref="M1400" si="209">CONCATENATE(CHOOSE(MOD(N1400,10)+1,"癸","甲","乙","丙","丁","戊","己","庚","辛","壬"),(CHOOSE(MOD(N1400,12)+1,"亥","子","丑","寅","卯","辰","巳","午","未","申","酉","戌")))</f>
        <v>甲戌</v>
      </c>
      <c r="N1400" s="830">
        <f t="shared" ref="N1400" si="210">MOD(M1399+N1367-1,60)+1</f>
        <v>11</v>
      </c>
      <c r="O1400" s="829" t="str">
        <f t="shared" ref="O1400" si="211">CONCATENATE(CHOOSE(MOD(P1400,10)+1,"癸","甲","乙","丙","丁","戊","己","庚","辛","壬"),(CHOOSE(MOD(P1400,12)+1,"亥","子","丑","寅","卯","辰","巳","午","未","申","酉","戌")))</f>
        <v>己卯</v>
      </c>
      <c r="P1400" s="830">
        <f t="shared" ref="P1400" si="212">MOD(O1399+P1367-1,60)+1</f>
        <v>16</v>
      </c>
      <c r="Q1400" s="829" t="str">
        <f t="shared" ref="Q1400" si="213">CONCATENATE(CHOOSE(MOD(R1400,10)+1,"癸","甲","乙","丙","丁","戊","己","庚","辛","壬"),(CHOOSE(MOD(R1400,12)+1,"亥","子","丑","寅","卯","辰","巳","午","未","申","酉","戌")))</f>
        <v>己卯</v>
      </c>
      <c r="R1400" s="830">
        <f t="shared" ref="R1400" si="214">MOD(Q1399+R1367-1,60)+1</f>
        <v>16</v>
      </c>
      <c r="S1400" s="720"/>
    </row>
    <row r="1401" spans="1:19" s="716" customFormat="1" ht="12.6" customHeight="1">
      <c r="A1401" s="715"/>
      <c r="B1401" s="766"/>
      <c r="C1401" s="766"/>
      <c r="D1401" s="766"/>
      <c r="E1401" s="766"/>
      <c r="F1401" s="766"/>
      <c r="G1401" s="766"/>
      <c r="H1401" s="766"/>
      <c r="I1401" s="782"/>
      <c r="J1401" s="781"/>
      <c r="K1401" s="782"/>
      <c r="L1401" s="781"/>
      <c r="M1401" s="782"/>
      <c r="N1401" s="781"/>
      <c r="O1401" s="782"/>
      <c r="P1401" s="781"/>
      <c r="Q1401" s="782"/>
      <c r="R1401" s="781"/>
      <c r="S1401" s="720"/>
    </row>
    <row r="1402" spans="1:19" s="716" customFormat="1" ht="53.25" customHeight="1">
      <c r="A1402" s="715"/>
      <c r="B1402" s="871" t="s">
        <v>1034</v>
      </c>
      <c r="C1402" s="871"/>
      <c r="D1402" s="871"/>
      <c r="E1402" s="871"/>
      <c r="F1402" s="871"/>
      <c r="G1402" s="871"/>
      <c r="H1402" s="872"/>
      <c r="I1402" s="782"/>
      <c r="J1402" s="781"/>
      <c r="K1402" s="782"/>
      <c r="L1402" s="781"/>
      <c r="M1402" s="782"/>
      <c r="N1402" s="781"/>
      <c r="O1402" s="782"/>
      <c r="P1402" s="781"/>
      <c r="Q1402" s="782"/>
      <c r="R1402" s="781"/>
      <c r="S1402" s="720"/>
    </row>
    <row r="1403" spans="1:19" s="716" customFormat="1" ht="12.6" customHeight="1">
      <c r="A1403" s="715"/>
      <c r="B1403" s="766"/>
      <c r="C1403" s="766"/>
      <c r="D1403" s="766"/>
      <c r="E1403" s="766"/>
      <c r="F1403" s="766"/>
      <c r="G1403" s="766"/>
      <c r="H1403" s="766"/>
      <c r="I1403" s="782"/>
      <c r="J1403" s="781"/>
      <c r="K1403" s="782"/>
      <c r="L1403" s="781"/>
      <c r="M1403" s="782"/>
      <c r="N1403" s="781"/>
      <c r="O1403" s="782"/>
      <c r="P1403" s="781"/>
      <c r="Q1403" s="782"/>
      <c r="R1403" s="781"/>
      <c r="S1403" s="720"/>
    </row>
    <row r="1404" spans="1:19" s="716" customFormat="1" ht="12.6" customHeight="1">
      <c r="A1404" s="715"/>
      <c r="B1404" s="766"/>
      <c r="C1404" s="766"/>
      <c r="D1404" s="766"/>
      <c r="E1404" s="766"/>
      <c r="F1404" s="766"/>
      <c r="G1404" s="766"/>
      <c r="H1404" s="810" t="s">
        <v>1035</v>
      </c>
      <c r="I1404" s="808">
        <f>I1347</f>
        <v>0</v>
      </c>
      <c r="J1404" s="809"/>
      <c r="K1404" s="808">
        <f t="shared" ref="K1404" si="215">K1347</f>
        <v>1</v>
      </c>
      <c r="L1404" s="809"/>
      <c r="M1404" s="808">
        <f t="shared" ref="M1404" si="216">M1347</f>
        <v>0</v>
      </c>
      <c r="N1404" s="809"/>
      <c r="O1404" s="808">
        <f t="shared" ref="O1404" si="217">O1347</f>
        <v>0</v>
      </c>
      <c r="P1404" s="809"/>
      <c r="Q1404" s="808">
        <f t="shared" ref="Q1404" si="218">Q1347</f>
        <v>0</v>
      </c>
      <c r="R1404" s="809"/>
      <c r="S1404" s="739"/>
    </row>
    <row r="1405" spans="1:19" s="716" customFormat="1" ht="12.6" customHeight="1">
      <c r="A1405" s="715"/>
      <c r="B1405" s="766"/>
      <c r="C1405" s="766"/>
      <c r="D1405" s="766"/>
      <c r="E1405" s="766"/>
      <c r="F1405" s="766"/>
      <c r="G1405" s="766"/>
      <c r="H1405" s="810" t="s">
        <v>1036</v>
      </c>
      <c r="I1405" s="782" t="b">
        <f>I1380&lt;J1340</f>
        <v>0</v>
      </c>
      <c r="J1405" s="781"/>
      <c r="K1405" s="782" t="b">
        <f t="shared" ref="K1405" si="219">K1380&lt;L1340</f>
        <v>0</v>
      </c>
      <c r="L1405" s="781"/>
      <c r="M1405" s="782" t="b">
        <f t="shared" ref="M1405" si="220">M1380&lt;N1340</f>
        <v>0</v>
      </c>
      <c r="N1405" s="781"/>
      <c r="O1405" s="782" t="b">
        <f t="shared" ref="O1405" si="221">O1380&lt;P1340</f>
        <v>0</v>
      </c>
      <c r="P1405" s="781"/>
      <c r="Q1405" s="782" t="b">
        <f t="shared" ref="Q1405" si="222">Q1380&lt;R1340</f>
        <v>0</v>
      </c>
      <c r="R1405" s="781"/>
      <c r="S1405" s="739"/>
    </row>
    <row r="1406" spans="1:19" s="716" customFormat="1" ht="12.6" customHeight="1">
      <c r="A1406" s="715"/>
      <c r="B1406" s="766"/>
      <c r="C1406" s="766"/>
      <c r="D1406" s="766"/>
      <c r="E1406" s="766"/>
      <c r="F1406" s="766"/>
      <c r="G1406" s="766"/>
      <c r="H1406" s="810" t="s">
        <v>1037</v>
      </c>
      <c r="I1406" s="782">
        <f>I1404-I1405</f>
        <v>0</v>
      </c>
      <c r="J1406" s="781"/>
      <c r="K1406" s="782">
        <f t="shared" ref="K1406" si="223">K1404-K1405</f>
        <v>1</v>
      </c>
      <c r="L1406" s="781"/>
      <c r="M1406" s="782">
        <f t="shared" ref="M1406" si="224">M1404-M1405</f>
        <v>0</v>
      </c>
      <c r="N1406" s="781"/>
      <c r="O1406" s="782">
        <f t="shared" ref="O1406" si="225">O1404-O1405</f>
        <v>0</v>
      </c>
      <c r="P1406" s="781"/>
      <c r="Q1406" s="782">
        <f t="shared" ref="Q1406" si="226">Q1404-Q1405</f>
        <v>0</v>
      </c>
      <c r="R1406" s="781"/>
      <c r="S1406" s="739"/>
    </row>
    <row r="1407" spans="1:19" s="716" customFormat="1" ht="12.6" customHeight="1">
      <c r="A1407" s="715"/>
      <c r="B1407" s="766"/>
      <c r="C1407" s="766"/>
      <c r="D1407" s="766"/>
      <c r="E1407" s="766"/>
      <c r="F1407" s="766"/>
      <c r="G1407" s="766"/>
      <c r="H1407" s="766"/>
      <c r="I1407" s="782"/>
      <c r="J1407" s="781"/>
      <c r="K1407" s="782"/>
      <c r="L1407" s="781"/>
      <c r="M1407" s="782"/>
      <c r="N1407" s="781"/>
      <c r="O1407" s="782"/>
      <c r="P1407" s="781"/>
      <c r="Q1407" s="782"/>
      <c r="R1407" s="781"/>
      <c r="S1407" s="739"/>
    </row>
    <row r="1408" spans="1:19" s="716" customFormat="1" ht="12.6" customHeight="1">
      <c r="A1408" s="715"/>
      <c r="B1408" s="766"/>
      <c r="C1408" s="766"/>
      <c r="D1408" s="766"/>
      <c r="E1408" s="766"/>
      <c r="F1408" s="766"/>
      <c r="G1408" s="766"/>
      <c r="H1408" s="810" t="s">
        <v>1039</v>
      </c>
      <c r="I1408" s="782">
        <f>MOD(I1338-I1406,12)</f>
        <v>11</v>
      </c>
      <c r="J1408" s="781">
        <f>J1338</f>
        <v>30614</v>
      </c>
      <c r="K1408" s="782">
        <f t="shared" ref="K1408" si="227">MOD(K1338-K1406,12)</f>
        <v>0</v>
      </c>
      <c r="L1408" s="781">
        <f t="shared" ref="L1408" si="228">L1338</f>
        <v>12489</v>
      </c>
      <c r="M1408" s="782">
        <f t="shared" ref="M1408" si="229">MOD(M1338-M1406,12)</f>
        <v>0</v>
      </c>
      <c r="N1408" s="781">
        <f t="shared" ref="N1408" si="230">N1338</f>
        <v>13798</v>
      </c>
      <c r="O1408" s="782">
        <f t="shared" ref="O1408" si="231">MOD(O1338-O1406,12)</f>
        <v>4</v>
      </c>
      <c r="P1408" s="781">
        <f t="shared" ref="P1408" si="232">P1338</f>
        <v>89405</v>
      </c>
      <c r="Q1408" s="782">
        <f t="shared" ref="Q1408" si="233">MOD(Q1338-Q1406,12)</f>
        <v>0</v>
      </c>
      <c r="R1408" s="781">
        <f t="shared" ref="R1408" si="234">R1338</f>
        <v>143208</v>
      </c>
      <c r="S1408" s="739"/>
    </row>
    <row r="1409" spans="1:19" ht="13.95" customHeight="1">
      <c r="I1409" s="767"/>
      <c r="J1409" s="769"/>
      <c r="K1409" s="767"/>
      <c r="L1409" s="769"/>
      <c r="M1409" s="767"/>
      <c r="N1409" s="769"/>
      <c r="O1409" s="767"/>
      <c r="P1409" s="769"/>
      <c r="Q1409" s="767"/>
      <c r="R1409" s="769"/>
    </row>
    <row r="1410" spans="1:19" ht="13.95" customHeight="1">
      <c r="A1410" s="688">
        <f>A1336+1</f>
        <v>166</v>
      </c>
      <c r="B1410" t="s">
        <v>1010</v>
      </c>
      <c r="H1410" s="321"/>
      <c r="I1410" s="625"/>
      <c r="J1410" s="841"/>
      <c r="K1410" s="625"/>
      <c r="L1410" s="841"/>
      <c r="M1410" s="625"/>
      <c r="N1410" s="841"/>
      <c r="O1410" s="625"/>
      <c r="P1410" s="841"/>
      <c r="Q1410" s="625"/>
      <c r="R1410" s="841"/>
    </row>
    <row r="1411" spans="1:19" ht="13.95" customHeight="1">
      <c r="B1411" t="s">
        <v>1011</v>
      </c>
      <c r="I1411" s="783">
        <f>I1399+I1408*29</f>
        <v>337</v>
      </c>
      <c r="J1411" s="797">
        <f>J1398+I1408*499</f>
        <v>6338</v>
      </c>
      <c r="K1411" s="783">
        <f t="shared" ref="K1411" si="235">K1399+K1408*29</f>
        <v>18</v>
      </c>
      <c r="L1411" s="797">
        <f t="shared" ref="L1411" si="236">L1398+K1408*499</f>
        <v>849</v>
      </c>
      <c r="M1411" s="783">
        <f t="shared" ref="M1411" si="237">M1399+M1408*29</f>
        <v>13</v>
      </c>
      <c r="N1411" s="797">
        <f t="shared" ref="N1411" si="238">N1398+M1408*499</f>
        <v>257</v>
      </c>
      <c r="O1411" s="783">
        <f t="shared" ref="O1411" si="239">O1399+O1408*29</f>
        <v>134</v>
      </c>
      <c r="P1411" s="797">
        <f t="shared" ref="P1411" si="240">P1398+O1408*499</f>
        <v>2845</v>
      </c>
      <c r="Q1411" s="783">
        <f t="shared" ref="Q1411" si="241">Q1399+Q1408*29</f>
        <v>18</v>
      </c>
      <c r="R1411" s="797">
        <f t="shared" ref="R1411" si="242">R1398+Q1408*499</f>
        <v>849</v>
      </c>
    </row>
    <row r="1412" spans="1:19" ht="13.95" customHeight="1">
      <c r="B1412" t="s">
        <v>1012</v>
      </c>
      <c r="I1412" s="783">
        <f>I1411+INT(J1411/蔀月)</f>
        <v>343</v>
      </c>
      <c r="J1412" s="797">
        <f>MOD(J1411,蔀月)</f>
        <v>698</v>
      </c>
      <c r="K1412" s="783">
        <f>K1411+INT(L1411/蔀月)</f>
        <v>18</v>
      </c>
      <c r="L1412" s="797">
        <f>MOD(L1411,蔀月)</f>
        <v>849</v>
      </c>
      <c r="M1412" s="783">
        <f>M1411+INT(N1411/蔀月)</f>
        <v>13</v>
      </c>
      <c r="N1412" s="797">
        <f>MOD(N1411,蔀月)</f>
        <v>257</v>
      </c>
      <c r="O1412" s="783">
        <f>O1411+INT(P1411/蔀月)</f>
        <v>137</v>
      </c>
      <c r="P1412" s="797">
        <f>MOD(P1411,蔀月)</f>
        <v>25</v>
      </c>
      <c r="Q1412" s="783">
        <f>Q1411+INT(R1411/蔀月)</f>
        <v>18</v>
      </c>
      <c r="R1412" s="797">
        <f>MOD(R1411,蔀月)</f>
        <v>849</v>
      </c>
    </row>
    <row r="1413" spans="1:19" s="716" customFormat="1" ht="12.6" customHeight="1">
      <c r="A1413" s="715"/>
      <c r="B1413" s="766" t="s">
        <v>1038</v>
      </c>
      <c r="C1413" s="766"/>
      <c r="D1413" s="766"/>
      <c r="E1413" s="766"/>
      <c r="F1413" s="766"/>
      <c r="G1413" s="766"/>
      <c r="H1413" s="810"/>
      <c r="I1413" s="611" t="str">
        <f>I1367</f>
        <v>辛酉</v>
      </c>
      <c r="J1413" s="840">
        <f>J1367</f>
        <v>58</v>
      </c>
      <c r="K1413" s="611" t="str">
        <f t="shared" ref="K1413:R1413" si="243">K1367</f>
        <v>辛酉</v>
      </c>
      <c r="L1413" s="840">
        <f t="shared" si="243"/>
        <v>58</v>
      </c>
      <c r="M1413" s="611" t="str">
        <f t="shared" si="243"/>
        <v>辛酉</v>
      </c>
      <c r="N1413" s="840">
        <f t="shared" si="243"/>
        <v>58</v>
      </c>
      <c r="O1413" s="611" t="str">
        <f t="shared" si="243"/>
        <v>辛酉</v>
      </c>
      <c r="P1413" s="840">
        <f t="shared" si="243"/>
        <v>58</v>
      </c>
      <c r="Q1413" s="611" t="str">
        <f t="shared" si="243"/>
        <v>辛酉</v>
      </c>
      <c r="R1413" s="840">
        <f t="shared" si="243"/>
        <v>58</v>
      </c>
      <c r="S1413" s="739"/>
    </row>
    <row r="1414" spans="1:19" ht="13.95" customHeight="1">
      <c r="B1414" t="s">
        <v>1013</v>
      </c>
      <c r="I1414" s="829" t="str">
        <f>CONCATENATE(CHOOSE(MOD(J1414,10)+1,"癸","甲","乙","丙","丁","戊","己","庚","辛","壬"),(CHOOSE(MOD(J1414,12)+1,"亥","子","丑","寅","卯","辰","巳","午","未","申","酉","戌")))</f>
        <v>甲辰</v>
      </c>
      <c r="J1414" s="830">
        <f>MOD(I1412+J1413-1,60)+1</f>
        <v>41</v>
      </c>
      <c r="K1414" s="842" t="str">
        <f t="shared" ref="K1414" si="244">CONCATENATE(CHOOSE(MOD(L1414,10)+1,"癸","甲","乙","丙","丁","戊","己","庚","辛","壬"),(CHOOSE(MOD(L1414,12)+1,"亥","子","丑","寅","卯","辰","巳","午","未","申","酉","戌")))</f>
        <v>己卯</v>
      </c>
      <c r="L1414" s="843">
        <f t="shared" ref="L1414" si="245">MOD(K1412+L1413-1,60)+1</f>
        <v>16</v>
      </c>
      <c r="M1414" s="842" t="str">
        <f t="shared" ref="M1414" si="246">CONCATENATE(CHOOSE(MOD(N1414,10)+1,"癸","甲","乙","丙","丁","戊","己","庚","辛","壬"),(CHOOSE(MOD(N1414,12)+1,"亥","子","丑","寅","卯","辰","巳","午","未","申","酉","戌")))</f>
        <v>甲戌</v>
      </c>
      <c r="N1414" s="843">
        <f t="shared" ref="N1414" si="247">MOD(M1412+N1413-1,60)+1</f>
        <v>11</v>
      </c>
      <c r="O1414" s="842" t="str">
        <f t="shared" ref="O1414" si="248">CONCATENATE(CHOOSE(MOD(P1414,10)+1,"癸","甲","乙","丙","丁","戊","己","庚","辛","壬"),(CHOOSE(MOD(P1414,12)+1,"亥","子","丑","寅","卯","辰","巳","午","未","申","酉","戌")))</f>
        <v>戊寅</v>
      </c>
      <c r="P1414" s="843">
        <f t="shared" ref="P1414" si="249">MOD(O1412+P1413-1,60)+1</f>
        <v>15</v>
      </c>
      <c r="Q1414" s="842" t="str">
        <f t="shared" ref="Q1414" si="250">CONCATENATE(CHOOSE(MOD(R1414,10)+1,"癸","甲","乙","丙","丁","戊","己","庚","辛","壬"),(CHOOSE(MOD(R1414,12)+1,"亥","子","丑","寅","卯","辰","巳","午","未","申","酉","戌")))</f>
        <v>己卯</v>
      </c>
      <c r="R1414" s="843">
        <f t="shared" ref="R1414" si="251">MOD(Q1412+R1413-1,60)+1</f>
        <v>16</v>
      </c>
    </row>
    <row r="1415" spans="1:19" ht="13.95" customHeight="1">
      <c r="I1415" s="625"/>
      <c r="J1415" s="797"/>
      <c r="K1415" s="767"/>
      <c r="L1415" s="769"/>
      <c r="M1415" s="767"/>
      <c r="N1415" s="769"/>
      <c r="O1415" s="767"/>
      <c r="P1415" s="769"/>
      <c r="Q1415" s="767"/>
      <c r="R1415" s="769"/>
    </row>
    <row r="1416" spans="1:19" s="742" customFormat="1" ht="13.95" customHeight="1">
      <c r="A1416" s="741" t="s">
        <v>1015</v>
      </c>
      <c r="B1416" s="701" t="s">
        <v>1014</v>
      </c>
      <c r="I1416" s="869" t="s">
        <v>184</v>
      </c>
      <c r="J1416" s="870"/>
      <c r="K1416" s="880" t="s">
        <v>185</v>
      </c>
      <c r="L1416" s="881"/>
      <c r="M1416" s="869" t="s">
        <v>186</v>
      </c>
      <c r="N1416" s="870"/>
      <c r="O1416" s="880" t="s">
        <v>187</v>
      </c>
      <c r="P1416" s="881"/>
      <c r="Q1416" s="869" t="s">
        <v>188</v>
      </c>
      <c r="R1416" s="870"/>
      <c r="S1416" s="800"/>
    </row>
    <row r="1417" spans="1:19" ht="13.95" customHeight="1">
      <c r="I1417" s="767"/>
      <c r="J1417" s="769"/>
      <c r="K1417" s="767"/>
      <c r="L1417" s="769"/>
      <c r="M1417" s="767"/>
      <c r="N1417" s="769"/>
      <c r="O1417" s="767"/>
      <c r="P1417" s="769"/>
      <c r="Q1417" s="767"/>
      <c r="R1417" s="769"/>
    </row>
    <row r="1418" spans="1:19" ht="183" customHeight="1" thickBot="1">
      <c r="B1418" s="871" t="s">
        <v>1049</v>
      </c>
      <c r="C1418" s="871"/>
      <c r="D1418" s="871"/>
      <c r="E1418" s="871"/>
      <c r="F1418" s="871"/>
      <c r="G1418" s="871"/>
      <c r="H1418" s="872"/>
      <c r="I1418" s="782"/>
      <c r="J1418" s="781"/>
      <c r="K1418" s="782"/>
      <c r="L1418" s="781"/>
      <c r="M1418" s="782"/>
      <c r="N1418" s="781"/>
      <c r="O1418" s="782"/>
      <c r="P1418" s="781"/>
      <c r="Q1418" s="782"/>
      <c r="R1418" s="781"/>
    </row>
    <row r="1419" spans="1:19" s="453" customFormat="1" ht="11.4" customHeight="1" thickBot="1">
      <c r="B1419" s="845" t="s">
        <v>1046</v>
      </c>
      <c r="C1419" s="838"/>
      <c r="D1419" s="834"/>
      <c r="E1419" s="834"/>
      <c r="F1419" s="888" t="str">
        <f>D1325</f>
        <v>Procedure 3.42</v>
      </c>
      <c r="G1419" s="889"/>
      <c r="H1419" s="850"/>
      <c r="I1419" s="846"/>
      <c r="J1419" s="847"/>
      <c r="K1419" s="846"/>
      <c r="L1419" s="847"/>
      <c r="M1419" s="846"/>
      <c r="N1419" s="847"/>
      <c r="O1419" s="846"/>
      <c r="P1419" s="847"/>
      <c r="Q1419" s="846"/>
      <c r="R1419" s="847"/>
    </row>
    <row r="1420" spans="1:19" s="38" customFormat="1" ht="13.5" customHeight="1" thickBot="1">
      <c r="B1420" s="836"/>
      <c r="C1420" s="836"/>
      <c r="D1420" s="836"/>
      <c r="E1420" s="836"/>
      <c r="F1420" s="836"/>
      <c r="G1420" s="836"/>
      <c r="H1420" s="853"/>
      <c r="I1420" s="782"/>
      <c r="J1420" s="781"/>
      <c r="K1420" s="782"/>
      <c r="L1420" s="781"/>
      <c r="M1420" s="782"/>
      <c r="N1420" s="781"/>
      <c r="O1420" s="782"/>
      <c r="P1420" s="781"/>
      <c r="Q1420" s="782"/>
      <c r="R1420" s="781"/>
    </row>
    <row r="1421" spans="1:19" s="38" customFormat="1" ht="12.75" customHeight="1" thickBot="1">
      <c r="B1421" s="766" t="s">
        <v>1047</v>
      </c>
      <c r="C1421" s="836"/>
      <c r="D1421" s="836"/>
      <c r="E1421" s="836"/>
      <c r="F1421" s="851" t="s">
        <v>1048</v>
      </c>
      <c r="G1421" s="836"/>
      <c r="H1421" s="852" t="s">
        <v>1050</v>
      </c>
      <c r="I1421" s="611">
        <f>IF($F$1421="(2)",木入月日,IF($F$1419="Procedure 3.42",NA(),I1228))</f>
        <v>15</v>
      </c>
      <c r="J1421" s="840">
        <f>IF($F$1421="(2)",木日餘,IF($F$1419="Procedure 3.42",NA(),J1228))</f>
        <v>14640.999999999973</v>
      </c>
      <c r="K1421" s="782"/>
      <c r="L1421" s="781"/>
      <c r="M1421" s="782"/>
      <c r="N1421" s="781"/>
      <c r="O1421" s="782"/>
      <c r="P1421" s="781"/>
      <c r="Q1421" s="782"/>
      <c r="R1421" s="781"/>
    </row>
    <row r="1422" spans="1:19" s="38" customFormat="1" ht="11.4" customHeight="1">
      <c r="B1422" s="766"/>
      <c r="C1422" s="836"/>
      <c r="D1422" s="836"/>
      <c r="E1422" s="856" t="s">
        <v>1054</v>
      </c>
      <c r="F1422" s="854" t="b">
        <f>IF(F1419="Procedure 3.42","(2)","(1)")=F1421</f>
        <v>1</v>
      </c>
      <c r="G1422" s="836" t="s">
        <v>1053</v>
      </c>
      <c r="H1422" s="852"/>
      <c r="I1422" s="782"/>
      <c r="J1422" s="781"/>
      <c r="K1422" s="782"/>
      <c r="L1422" s="781"/>
      <c r="M1422" s="782"/>
      <c r="N1422" s="781"/>
      <c r="O1422" s="782"/>
      <c r="P1422" s="781"/>
      <c r="Q1422" s="782"/>
      <c r="R1422" s="781"/>
    </row>
    <row r="1423" spans="1:19" ht="11.4" customHeight="1" thickBot="1">
      <c r="B1423" s="834"/>
      <c r="C1423" s="834"/>
      <c r="D1423" s="834"/>
      <c r="E1423" s="834"/>
      <c r="F1423" s="834"/>
      <c r="G1423" s="834"/>
      <c r="H1423" s="835"/>
      <c r="I1423" s="782"/>
      <c r="J1423" s="781"/>
      <c r="K1423" s="782"/>
      <c r="L1423" s="781"/>
      <c r="M1423" s="782"/>
      <c r="N1423" s="781"/>
      <c r="O1423" s="782"/>
      <c r="P1423" s="781"/>
      <c r="Q1423" s="782"/>
      <c r="R1423" s="781"/>
    </row>
    <row r="1424" spans="1:19" ht="12.75" customHeight="1" thickBot="1">
      <c r="B1424" s="399" t="s">
        <v>1051</v>
      </c>
      <c r="C1424" s="834"/>
      <c r="D1424" s="834"/>
      <c r="E1424" s="890" t="s">
        <v>1052</v>
      </c>
      <c r="F1424" s="891"/>
      <c r="G1424" s="891"/>
      <c r="H1424" s="892"/>
      <c r="I1424" s="611">
        <f>IF($E$1424="the result of the last procedure, §166",I1412,IF($F$1419="Procedure 3.42",I1285,NA()))</f>
        <v>343</v>
      </c>
      <c r="J1424" s="840">
        <f>IF($E$1424="the result of the last procedure, §166",J1412,IF($F$1419="Procedure 3.42",J1285,NA()))</f>
        <v>698</v>
      </c>
      <c r="K1424" s="782"/>
      <c r="L1424" s="781"/>
      <c r="M1424" s="782"/>
      <c r="N1424" s="781"/>
      <c r="O1424" s="782"/>
      <c r="P1424" s="781"/>
      <c r="Q1424" s="782"/>
      <c r="R1424" s="781"/>
    </row>
    <row r="1425" spans="2:18" ht="11.4" customHeight="1">
      <c r="B1425" s="399"/>
      <c r="C1425" s="834"/>
      <c r="D1425" s="834"/>
      <c r="E1425" s="856" t="s">
        <v>1054</v>
      </c>
      <c r="F1425" s="854" t="b">
        <f>IF(F1419="Procedure 3.42","days accumulated from WS to prior conjunction","the result of the last procedure, §166")=E1424</f>
        <v>0</v>
      </c>
      <c r="G1425" s="836" t="s">
        <v>1053</v>
      </c>
      <c r="H1425" s="855"/>
      <c r="I1425" s="782"/>
      <c r="J1425" s="781"/>
      <c r="K1425" s="782"/>
      <c r="L1425" s="781"/>
      <c r="M1425" s="782"/>
      <c r="N1425" s="781"/>
      <c r="O1425" s="782"/>
      <c r="P1425" s="781"/>
      <c r="Q1425" s="782"/>
      <c r="R1425" s="781"/>
    </row>
    <row r="1426" spans="2:18" s="38" customFormat="1" ht="13.5" customHeight="1">
      <c r="B1426" s="836"/>
      <c r="C1426" s="836"/>
      <c r="D1426" s="836"/>
      <c r="E1426" s="836"/>
      <c r="F1426" s="836"/>
      <c r="G1426" s="836"/>
      <c r="H1426" s="853"/>
      <c r="I1426" s="782"/>
      <c r="J1426" s="781"/>
      <c r="K1426" s="782"/>
      <c r="L1426" s="781"/>
      <c r="M1426" s="782"/>
      <c r="N1426" s="781"/>
      <c r="O1426" s="782"/>
      <c r="P1426" s="781"/>
      <c r="Q1426" s="782"/>
      <c r="R1426" s="781"/>
    </row>
    <row r="1427" spans="2:18" s="38" customFormat="1" ht="13.5" customHeight="1">
      <c r="B1427" s="766" t="s">
        <v>1061</v>
      </c>
      <c r="C1427" s="836"/>
      <c r="D1427" s="836"/>
      <c r="E1427" s="836"/>
      <c r="F1427" s="836"/>
      <c r="G1427" s="836"/>
      <c r="H1427" s="853"/>
      <c r="I1427" s="782" t="s">
        <v>1057</v>
      </c>
      <c r="J1427" s="787" t="s">
        <v>1059</v>
      </c>
      <c r="K1427" s="782"/>
      <c r="L1427" s="781"/>
      <c r="M1427" s="782"/>
      <c r="N1427" s="781"/>
      <c r="O1427" s="782"/>
      <c r="P1427" s="781"/>
      <c r="Q1427" s="782"/>
      <c r="R1427" s="781"/>
    </row>
    <row r="1428" spans="2:18" s="38" customFormat="1" ht="13.5" customHeight="1" thickBot="1">
      <c r="B1428" s="836"/>
      <c r="C1428" s="836"/>
      <c r="D1428" s="836"/>
      <c r="E1428" s="836"/>
      <c r="F1428" s="836"/>
      <c r="G1428" s="836"/>
      <c r="H1428" s="853"/>
      <c r="I1428" s="782" t="s">
        <v>1058</v>
      </c>
      <c r="J1428" s="787" t="str">
        <f>IF($E$1424="the result of the last procedure, §166","蔀月)",IF($F$1419="Procedure 3.42","日度法)",NA()))</f>
        <v>蔀月)</v>
      </c>
      <c r="K1428" s="782"/>
      <c r="L1428" s="781"/>
      <c r="M1428" s="782"/>
      <c r="N1428" s="781"/>
      <c r="O1428" s="782"/>
      <c r="P1428" s="781"/>
      <c r="Q1428" s="782"/>
      <c r="R1428" s="781"/>
    </row>
    <row r="1429" spans="2:18" s="38" customFormat="1" ht="13.5" customHeight="1" thickBot="1">
      <c r="B1429" s="766" t="s">
        <v>1062</v>
      </c>
      <c r="C1429" s="836"/>
      <c r="D1429" s="836"/>
      <c r="E1429" s="836"/>
      <c r="F1429" s="836"/>
      <c r="G1429" s="893" t="s">
        <v>1060</v>
      </c>
      <c r="H1429" s="894"/>
      <c r="I1429" s="782"/>
      <c r="J1429" s="781"/>
      <c r="K1429" s="782"/>
      <c r="L1429" s="781"/>
      <c r="M1429" s="782"/>
      <c r="N1429" s="781"/>
      <c r="O1429" s="782"/>
      <c r="P1429" s="781"/>
      <c r="Q1429" s="782"/>
      <c r="R1429" s="781"/>
    </row>
    <row r="1430" spans="2:18" s="38" customFormat="1" ht="13.5" customHeight="1" thickBot="1">
      <c r="B1430" s="856"/>
      <c r="C1430" s="836"/>
      <c r="D1430" s="836"/>
      <c r="E1430" s="836"/>
      <c r="F1430" s="836"/>
      <c r="G1430" s="836"/>
      <c r="H1430" s="853"/>
      <c r="I1430" s="782"/>
      <c r="J1430" s="781"/>
      <c r="K1430" s="782"/>
      <c r="L1430" s="781"/>
      <c r="M1430" s="782"/>
      <c r="N1430" s="781"/>
      <c r="O1430" s="782"/>
      <c r="P1430" s="781"/>
      <c r="Q1430" s="782"/>
      <c r="R1430" s="781"/>
    </row>
    <row r="1431" spans="2:18" s="38" customFormat="1" ht="13.5" customHeight="1" thickBot="1">
      <c r="B1431" s="766" t="s">
        <v>1063</v>
      </c>
      <c r="C1431" s="836"/>
      <c r="D1431" s="836"/>
      <c r="E1431" s="836"/>
      <c r="F1431" s="844"/>
      <c r="G1431" s="916" t="s">
        <v>1068</v>
      </c>
      <c r="H1431" s="917"/>
      <c r="I1431" s="794"/>
      <c r="J1431" s="781"/>
      <c r="K1431" s="782"/>
      <c r="L1431" s="781"/>
      <c r="M1431" s="782"/>
      <c r="N1431" s="781"/>
      <c r="O1431" s="782"/>
      <c r="P1431" s="781"/>
      <c r="Q1431" s="782"/>
      <c r="R1431" s="781"/>
    </row>
    <row r="1432" spans="2:18" s="38" customFormat="1" ht="13.5" customHeight="1" thickBot="1">
      <c r="B1432" s="836"/>
      <c r="C1432" s="836"/>
      <c r="D1432" s="836"/>
      <c r="E1432" s="836"/>
      <c r="F1432" s="836"/>
      <c r="G1432" s="836"/>
      <c r="H1432" s="794"/>
      <c r="I1432" s="782"/>
      <c r="J1432" s="781"/>
      <c r="K1432" s="782"/>
      <c r="L1432" s="781"/>
      <c r="M1432" s="782"/>
      <c r="N1432" s="781"/>
      <c r="O1432" s="782"/>
      <c r="P1432" s="781"/>
      <c r="Q1432" s="782"/>
      <c r="R1432" s="781"/>
    </row>
    <row r="1433" spans="2:18" s="38" customFormat="1" ht="13.5" customHeight="1" thickBot="1">
      <c r="B1433" s="836"/>
      <c r="C1433" s="857" t="s">
        <v>1064</v>
      </c>
      <c r="D1433" s="836"/>
      <c r="E1433" s="836"/>
      <c r="F1433" s="836"/>
      <c r="G1433" s="836"/>
      <c r="H1433" s="858" t="s">
        <v>689</v>
      </c>
      <c r="I1433" s="794">
        <f>I1424</f>
        <v>343</v>
      </c>
      <c r="J1433" s="781">
        <f>IF(J1428=J1427,J1424,IF(H1433="round",ROUND(J1424*木日度法/蔀月,0),INT(J1424*木日度法/蔀月)))</f>
        <v>12852</v>
      </c>
      <c r="K1433" s="782"/>
      <c r="L1433" s="781"/>
      <c r="M1433" s="782"/>
      <c r="N1433" s="781"/>
      <c r="O1433" s="782"/>
      <c r="P1433" s="781"/>
      <c r="Q1433" s="782"/>
      <c r="R1433" s="781"/>
    </row>
    <row r="1434" spans="2:18" s="38" customFormat="1" ht="13.5" customHeight="1">
      <c r="B1434" s="836"/>
      <c r="C1434" s="836"/>
      <c r="D1434" s="836"/>
      <c r="E1434" s="836"/>
      <c r="F1434" s="836"/>
      <c r="G1434" s="836"/>
      <c r="H1434" s="794"/>
      <c r="I1434" s="782"/>
      <c r="J1434" s="781"/>
      <c r="K1434" s="782"/>
      <c r="L1434" s="781"/>
      <c r="M1434" s="782"/>
      <c r="N1434" s="781"/>
      <c r="O1434" s="782"/>
      <c r="P1434" s="781"/>
      <c r="Q1434" s="782"/>
      <c r="R1434" s="781"/>
    </row>
    <row r="1435" spans="2:18" s="38" customFormat="1" ht="13.5" customHeight="1">
      <c r="B1435" s="836"/>
      <c r="C1435" s="857" t="s">
        <v>1065</v>
      </c>
      <c r="D1435" s="836"/>
      <c r="E1435" s="836"/>
      <c r="F1435" s="836"/>
      <c r="G1435" s="836"/>
      <c r="H1435" s="853"/>
      <c r="I1435" s="782"/>
      <c r="J1435" s="781"/>
      <c r="K1435" s="782"/>
      <c r="L1435" s="781"/>
      <c r="M1435" s="782"/>
      <c r="N1435" s="781"/>
      <c r="O1435" s="782"/>
      <c r="P1435" s="781"/>
      <c r="Q1435" s="782"/>
      <c r="R1435" s="781"/>
    </row>
    <row r="1436" spans="2:18" s="38" customFormat="1" ht="13.5" customHeight="1">
      <c r="B1436" s="836"/>
      <c r="C1436" s="859" t="s">
        <v>913</v>
      </c>
      <c r="D1436" s="836"/>
      <c r="E1436" s="836"/>
      <c r="F1436" s="836"/>
      <c r="G1436" s="836"/>
      <c r="H1436" s="853"/>
      <c r="I1436" s="782"/>
      <c r="J1436" s="781"/>
      <c r="K1436" s="782"/>
      <c r="L1436" s="781"/>
      <c r="M1436" s="782"/>
      <c r="N1436" s="781"/>
      <c r="O1436" s="782"/>
      <c r="P1436" s="781"/>
      <c r="Q1436" s="782"/>
      <c r="R1436" s="781"/>
    </row>
    <row r="1437" spans="2:18" s="38" customFormat="1" ht="13.5" customHeight="1">
      <c r="B1437" s="766"/>
      <c r="C1437" s="766" t="s">
        <v>984</v>
      </c>
      <c r="D1437" s="766"/>
      <c r="E1437" s="766"/>
      <c r="F1437" s="766"/>
      <c r="G1437" s="766"/>
      <c r="H1437" s="791"/>
      <c r="I1437" s="808">
        <f>I1358</f>
        <v>9413</v>
      </c>
      <c r="J1437" s="781"/>
      <c r="K1437" s="782"/>
      <c r="L1437" s="781"/>
      <c r="M1437" s="782"/>
      <c r="N1437" s="781"/>
      <c r="O1437" s="782"/>
      <c r="P1437" s="781"/>
      <c r="Q1437" s="782"/>
      <c r="R1437" s="781"/>
    </row>
    <row r="1438" spans="2:18" s="38" customFormat="1" ht="13.5" customHeight="1">
      <c r="B1438" s="766"/>
      <c r="C1438" s="766" t="s">
        <v>915</v>
      </c>
      <c r="D1438" s="766"/>
      <c r="E1438" s="766"/>
      <c r="F1438" s="766"/>
      <c r="G1438" s="766"/>
      <c r="H1438" s="791"/>
      <c r="I1438" s="782">
        <f>INT(I1437*木周率)</f>
        <v>40730051</v>
      </c>
      <c r="J1438" s="781"/>
      <c r="K1438" s="782">
        <f>INT($I$1178*火周率)</f>
        <v>8274027</v>
      </c>
      <c r="L1438" s="781"/>
      <c r="M1438" s="782">
        <f>INT($I$1178*土周率)</f>
        <v>85620648</v>
      </c>
      <c r="N1438" s="781"/>
      <c r="O1438" s="782">
        <f>INT($I$1178*金周率)</f>
        <v>54877790</v>
      </c>
      <c r="P1438" s="781"/>
      <c r="Q1438" s="782">
        <f>INT($I$1178*水周率)</f>
        <v>112090004</v>
      </c>
      <c r="R1438" s="781"/>
    </row>
    <row r="1439" spans="2:18" s="38" customFormat="1" ht="13.5" customHeight="1">
      <c r="B1439" s="766"/>
      <c r="C1439" s="766" t="s">
        <v>916</v>
      </c>
      <c r="D1439" s="766"/>
      <c r="E1439" s="766"/>
      <c r="F1439" s="766"/>
      <c r="G1439" s="766"/>
      <c r="H1439" s="791"/>
      <c r="I1439" s="782">
        <f>INT(I1438/木日率)</f>
        <v>8620</v>
      </c>
      <c r="J1439" s="781">
        <f>MOD(I1438,木日率)</f>
        <v>551</v>
      </c>
      <c r="K1439" s="782">
        <f>INT(K1438/火日率)</f>
        <v>4410</v>
      </c>
      <c r="L1439" s="781">
        <f>MOD(K1438,火日率)</f>
        <v>867</v>
      </c>
      <c r="M1439" s="782">
        <f>INT(M1438/土日率)</f>
        <v>9094</v>
      </c>
      <c r="N1439" s="781">
        <f>MOD(M1438,土日率)</f>
        <v>638</v>
      </c>
      <c r="O1439" s="782">
        <f>INT(O1438/金日率)</f>
        <v>11773</v>
      </c>
      <c r="P1439" s="781">
        <f>MOD(O1438,金日率)</f>
        <v>3837</v>
      </c>
      <c r="Q1439" s="782">
        <f>INT(Q1438/水日率)</f>
        <v>59338</v>
      </c>
      <c r="R1439" s="781">
        <f>MOD(Q1438,水日率)</f>
        <v>522</v>
      </c>
    </row>
    <row r="1440" spans="2:18" s="38" customFormat="1" ht="13.5" customHeight="1">
      <c r="B1440" s="766"/>
      <c r="C1440" s="766" t="s">
        <v>108</v>
      </c>
      <c r="D1440" s="766"/>
      <c r="E1440" s="766"/>
      <c r="F1440" s="766"/>
      <c r="G1440" s="766"/>
      <c r="H1440" s="791"/>
      <c r="I1440" s="782">
        <f>INT(J1439/木周率)*-1</f>
        <v>0</v>
      </c>
      <c r="J1440" s="781"/>
      <c r="K1440" s="782">
        <f>INT(L1439/火周率)*-1</f>
        <v>0</v>
      </c>
      <c r="L1440" s="781"/>
      <c r="M1440" s="782">
        <f>INT(N1439/土周率)*-1</f>
        <v>0</v>
      </c>
      <c r="N1440" s="781"/>
      <c r="O1440" s="782">
        <f>INT(P1439/金周率)*-1</f>
        <v>0</v>
      </c>
      <c r="P1440" s="781"/>
      <c r="Q1440" s="782">
        <f>INT(R1439/水周率)*-1</f>
        <v>0</v>
      </c>
      <c r="R1440" s="781"/>
    </row>
    <row r="1441" spans="2:18" s="38" customFormat="1" ht="13.5" customHeight="1">
      <c r="B1441" s="766"/>
      <c r="C1441" s="766" t="s">
        <v>917</v>
      </c>
      <c r="D1441" s="766"/>
      <c r="E1441" s="766"/>
      <c r="F1441" s="766"/>
      <c r="G1441" s="766"/>
      <c r="H1441" s="791"/>
      <c r="I1441" s="782">
        <f>木周率-MOD(J1439,木周率)</f>
        <v>3776</v>
      </c>
      <c r="J1441" s="781"/>
      <c r="K1441" s="782">
        <f>火周率-MOD(L1439,火周率)</f>
        <v>12</v>
      </c>
      <c r="L1441" s="781"/>
      <c r="M1441" s="782">
        <f>土周率-MOD(N1439,土周率)</f>
        <v>8458</v>
      </c>
      <c r="N1441" s="781"/>
      <c r="O1441" s="782">
        <f>金周率-MOD(P1439,金周率)</f>
        <v>1993</v>
      </c>
      <c r="P1441" s="781"/>
      <c r="Q1441" s="782">
        <f>水周率-MOD(R1439,水周率)</f>
        <v>11386</v>
      </c>
      <c r="R1441" s="781"/>
    </row>
    <row r="1442" spans="2:18" s="38" customFormat="1" ht="13.5" customHeight="1">
      <c r="B1442" s="766"/>
      <c r="C1442" s="786" t="s">
        <v>920</v>
      </c>
      <c r="D1442" s="766"/>
      <c r="E1442" s="766"/>
      <c r="F1442" s="766"/>
      <c r="G1442" s="766"/>
      <c r="H1442" s="791"/>
      <c r="I1442" s="782"/>
      <c r="J1442" s="781"/>
      <c r="K1442" s="782"/>
      <c r="L1442" s="781"/>
      <c r="M1442" s="782"/>
      <c r="N1442" s="781"/>
      <c r="O1442" s="782"/>
      <c r="P1442" s="781"/>
      <c r="Q1442" s="782"/>
      <c r="R1442" s="781"/>
    </row>
    <row r="1443" spans="2:18" s="38" customFormat="1" ht="13.5" customHeight="1">
      <c r="B1443" s="766"/>
      <c r="C1443" s="766" t="s">
        <v>922</v>
      </c>
      <c r="D1443" s="766"/>
      <c r="E1443" s="766"/>
      <c r="F1443" s="766"/>
      <c r="G1443" s="766"/>
      <c r="H1443" s="791"/>
      <c r="I1443" s="782">
        <f>I1439*木合積月</f>
        <v>112060</v>
      </c>
      <c r="J1443" s="781"/>
      <c r="K1443" s="782">
        <f>K1433*火合積月</f>
        <v>0</v>
      </c>
      <c r="L1443" s="781"/>
      <c r="M1443" s="782">
        <f>M1433*土合積月</f>
        <v>0</v>
      </c>
      <c r="N1443" s="781"/>
      <c r="O1443" s="782">
        <f>O1433*金合積月</f>
        <v>0</v>
      </c>
      <c r="P1443" s="781"/>
      <c r="Q1443" s="782">
        <f>Q1433*水合積月</f>
        <v>0</v>
      </c>
      <c r="R1443" s="781"/>
    </row>
    <row r="1444" spans="2:18" s="38" customFormat="1" ht="13.5" customHeight="1">
      <c r="B1444" s="766"/>
      <c r="C1444" s="766" t="s">
        <v>923</v>
      </c>
      <c r="D1444" s="766"/>
      <c r="E1444" s="766"/>
      <c r="F1444" s="766"/>
      <c r="G1444" s="766"/>
      <c r="H1444" s="791"/>
      <c r="I1444" s="782">
        <f>I1439*木月餘</f>
        <v>358643720</v>
      </c>
      <c r="J1444" s="781"/>
      <c r="K1444" s="782">
        <f>K1433*火月餘</f>
        <v>0</v>
      </c>
      <c r="L1444" s="781"/>
      <c r="M1444" s="782">
        <f>M1433*土月餘</f>
        <v>0</v>
      </c>
      <c r="N1444" s="781"/>
      <c r="O1444" s="782">
        <f>O1433*金月餘</f>
        <v>0</v>
      </c>
      <c r="P1444" s="781"/>
      <c r="Q1444" s="782">
        <f>Q1433*水月餘</f>
        <v>0</v>
      </c>
      <c r="R1444" s="781"/>
    </row>
    <row r="1445" spans="2:18" s="38" customFormat="1" ht="13.5" customHeight="1">
      <c r="B1445" s="766"/>
      <c r="C1445" s="766" t="s">
        <v>924</v>
      </c>
      <c r="D1445" s="766"/>
      <c r="E1445" s="766"/>
      <c r="F1445" s="766"/>
      <c r="G1445" s="766"/>
      <c r="H1445" s="791"/>
      <c r="I1445" s="782">
        <f>INT(I1444/木月法)</f>
        <v>4362</v>
      </c>
      <c r="J1445" s="781">
        <f>MOD(I1444,木月法)</f>
        <v>30614</v>
      </c>
      <c r="K1445" s="782">
        <f>INT(K1444/火月法)</f>
        <v>0</v>
      </c>
      <c r="L1445" s="781">
        <f>MOD(K1444,火月法)</f>
        <v>0</v>
      </c>
      <c r="M1445" s="782">
        <f>INT(M1444/土月法)</f>
        <v>0</v>
      </c>
      <c r="N1445" s="781">
        <f>MOD(M1444,土月法)</f>
        <v>0</v>
      </c>
      <c r="O1445" s="782">
        <f>INT(O1444/金月法)</f>
        <v>0</v>
      </c>
      <c r="P1445" s="781">
        <f>MOD(O1444,金月法)</f>
        <v>0</v>
      </c>
      <c r="Q1445" s="782">
        <f>INT(Q1444/水月法)</f>
        <v>0</v>
      </c>
      <c r="R1445" s="781">
        <f>MOD(Q1444,水月法)</f>
        <v>0</v>
      </c>
    </row>
    <row r="1446" spans="2:18" s="38" customFormat="1" ht="13.5" customHeight="1">
      <c r="B1446" s="766"/>
      <c r="C1446" s="766" t="s">
        <v>925</v>
      </c>
      <c r="D1446" s="766"/>
      <c r="E1446" s="766"/>
      <c r="F1446" s="766"/>
      <c r="G1446" s="766"/>
      <c r="H1446" s="791"/>
      <c r="I1446" s="782">
        <f>I1445+I1443</f>
        <v>116422</v>
      </c>
      <c r="J1446" s="860">
        <f>J1445</f>
        <v>30614</v>
      </c>
      <c r="K1446" s="782">
        <f>K1445+K1443</f>
        <v>0</v>
      </c>
      <c r="L1446" s="781">
        <f>L1445</f>
        <v>0</v>
      </c>
      <c r="M1446" s="782">
        <f>M1445+M1443</f>
        <v>0</v>
      </c>
      <c r="N1446" s="781">
        <f>N1445</f>
        <v>0</v>
      </c>
      <c r="O1446" s="782">
        <f>O1445+O1443</f>
        <v>0</v>
      </c>
      <c r="P1446" s="781">
        <f>P1445</f>
        <v>0</v>
      </c>
      <c r="Q1446" s="782">
        <f>Q1445+Q1443</f>
        <v>0</v>
      </c>
      <c r="R1446" s="781">
        <f>R1445</f>
        <v>0</v>
      </c>
    </row>
    <row r="1447" spans="2:18" s="38" customFormat="1" ht="13.5" customHeight="1">
      <c r="B1447" s="766"/>
      <c r="C1447" s="766" t="s">
        <v>926</v>
      </c>
      <c r="D1447" s="766"/>
      <c r="E1447" s="766"/>
      <c r="F1447" s="766"/>
      <c r="G1447" s="766"/>
      <c r="H1447" s="791"/>
      <c r="I1447" s="782">
        <f>INT(I1446/紀月)</f>
        <v>6</v>
      </c>
      <c r="J1447" s="860">
        <f>MOD(I1446,紀月)</f>
        <v>3622</v>
      </c>
      <c r="K1447" s="782">
        <f>INT(K1446/紀月)</f>
        <v>0</v>
      </c>
      <c r="L1447" s="781">
        <f>MOD(K1446,紀月)</f>
        <v>0</v>
      </c>
      <c r="M1447" s="782">
        <f>INT(M1446/紀月)</f>
        <v>0</v>
      </c>
      <c r="N1447" s="781">
        <f>MOD(M1446,紀月)</f>
        <v>0</v>
      </c>
      <c r="O1447" s="782">
        <f>INT(O1446/紀月)</f>
        <v>0</v>
      </c>
      <c r="P1447" s="781">
        <f>MOD(O1446,紀月)</f>
        <v>0</v>
      </c>
      <c r="Q1447" s="782">
        <f>INT(Q1446/紀月)</f>
        <v>0</v>
      </c>
      <c r="R1447" s="781">
        <f>MOD(Q1446,紀月)</f>
        <v>0</v>
      </c>
    </row>
    <row r="1448" spans="2:18" s="38" customFormat="1" ht="13.5" customHeight="1">
      <c r="B1448" s="766"/>
      <c r="C1448" s="766" t="s">
        <v>108</v>
      </c>
      <c r="D1448" s="766"/>
      <c r="E1448" s="766"/>
      <c r="F1448" s="766"/>
      <c r="G1448" s="766"/>
      <c r="H1448" s="791"/>
      <c r="I1448" s="782"/>
      <c r="J1448" s="781"/>
      <c r="K1448" s="782"/>
      <c r="L1448" s="781"/>
      <c r="M1448" s="782"/>
      <c r="N1448" s="781"/>
      <c r="O1448" s="782"/>
      <c r="P1448" s="781"/>
      <c r="Q1448" s="782"/>
      <c r="R1448" s="781"/>
    </row>
    <row r="1449" spans="2:18" s="38" customFormat="1" ht="13.5" customHeight="1">
      <c r="B1449" s="844"/>
      <c r="C1449" s="859" t="s">
        <v>932</v>
      </c>
      <c r="D1449" s="844"/>
      <c r="E1449" s="844"/>
      <c r="F1449" s="844"/>
      <c r="G1449" s="844"/>
      <c r="H1449" s="853"/>
      <c r="I1449" s="782"/>
      <c r="J1449" s="781"/>
      <c r="K1449" s="782"/>
      <c r="L1449" s="781"/>
      <c r="M1449" s="782"/>
      <c r="N1449" s="781"/>
      <c r="O1449" s="782"/>
      <c r="P1449" s="781"/>
      <c r="Q1449" s="782"/>
      <c r="R1449" s="781"/>
    </row>
    <row r="1450" spans="2:18" s="38" customFormat="1" ht="13.5" customHeight="1">
      <c r="B1450" s="766"/>
      <c r="C1450" s="766" t="s">
        <v>934</v>
      </c>
      <c r="D1450" s="766"/>
      <c r="E1450" s="766"/>
      <c r="F1450" s="766"/>
      <c r="G1450" s="766"/>
      <c r="H1450" s="791"/>
      <c r="I1450" s="782">
        <f>J1447*蔀日</f>
        <v>100543098</v>
      </c>
      <c r="J1450" s="781"/>
      <c r="K1450" s="782" t="e">
        <f>#REF!*蔀日</f>
        <v>#REF!</v>
      </c>
      <c r="L1450" s="781"/>
      <c r="M1450" s="782" t="e">
        <f>#REF!*蔀日</f>
        <v>#REF!</v>
      </c>
      <c r="N1450" s="781"/>
      <c r="O1450" s="782" t="e">
        <f>#REF!*蔀日</f>
        <v>#REF!</v>
      </c>
      <c r="P1450" s="781"/>
      <c r="Q1450" s="782" t="e">
        <f>#REF!*蔀日</f>
        <v>#REF!</v>
      </c>
      <c r="R1450" s="781"/>
    </row>
    <row r="1451" spans="2:18" s="38" customFormat="1" ht="13.5" customHeight="1">
      <c r="B1451" s="766"/>
      <c r="C1451" s="766" t="s">
        <v>935</v>
      </c>
      <c r="D1451" s="766"/>
      <c r="E1451" s="766"/>
      <c r="F1451" s="766"/>
      <c r="G1451" s="766"/>
      <c r="H1451" s="791"/>
      <c r="I1451" s="782">
        <f>INT(I1450/蔀月)</f>
        <v>106960</v>
      </c>
      <c r="J1451" s="860">
        <f>MOD(I1450,蔀月)</f>
        <v>698</v>
      </c>
      <c r="K1451" s="782" t="e">
        <f>INT(K1450/蔀月)</f>
        <v>#REF!</v>
      </c>
      <c r="L1451" s="781" t="e">
        <f>MOD(K1450,蔀月)</f>
        <v>#REF!</v>
      </c>
      <c r="M1451" s="782" t="e">
        <f>INT(M1450/蔀月)</f>
        <v>#REF!</v>
      </c>
      <c r="N1451" s="781" t="e">
        <f>MOD(M1450,蔀月)</f>
        <v>#REF!</v>
      </c>
      <c r="O1451" s="782" t="e">
        <f>INT(O1450/蔀月)</f>
        <v>#REF!</v>
      </c>
      <c r="P1451" s="781" t="e">
        <f>MOD(O1450,蔀月)</f>
        <v>#REF!</v>
      </c>
      <c r="Q1451" s="782" t="e">
        <f>INT(Q1450/蔀月)</f>
        <v>#REF!</v>
      </c>
      <c r="R1451" s="781" t="e">
        <f>MOD(Q1450,蔀月)</f>
        <v>#REF!</v>
      </c>
    </row>
    <row r="1452" spans="2:18" s="38" customFormat="1" ht="13.5" customHeight="1">
      <c r="B1452" s="766"/>
      <c r="C1452" s="766" t="s">
        <v>108</v>
      </c>
      <c r="D1452" s="766"/>
      <c r="E1452" s="766"/>
      <c r="F1452" s="766"/>
      <c r="G1452" s="766"/>
      <c r="H1452" s="791"/>
      <c r="I1452" s="782"/>
      <c r="J1452" s="781"/>
      <c r="K1452" s="782"/>
      <c r="L1452" s="781"/>
      <c r="M1452" s="782"/>
      <c r="N1452" s="781"/>
      <c r="O1452" s="782"/>
      <c r="P1452" s="781"/>
      <c r="Q1452" s="782"/>
      <c r="R1452" s="781"/>
    </row>
    <row r="1453" spans="2:18" s="38" customFormat="1" ht="13.5" customHeight="1">
      <c r="B1453" s="844"/>
      <c r="C1453" s="859" t="s">
        <v>938</v>
      </c>
      <c r="D1453" s="844"/>
      <c r="E1453" s="844"/>
      <c r="F1453" s="844"/>
      <c r="G1453" s="844"/>
      <c r="H1453" s="853"/>
      <c r="I1453" s="782"/>
      <c r="J1453" s="781"/>
      <c r="K1453" s="782"/>
      <c r="L1453" s="781"/>
      <c r="M1453" s="782"/>
      <c r="N1453" s="781"/>
      <c r="O1453" s="782"/>
      <c r="P1453" s="781"/>
      <c r="Q1453" s="782"/>
      <c r="R1453" s="781"/>
    </row>
    <row r="1454" spans="2:18" s="38" customFormat="1" ht="13.5" customHeight="1" thickBot="1">
      <c r="B1454" s="766"/>
      <c r="C1454" s="766" t="s">
        <v>940</v>
      </c>
      <c r="D1454" s="766"/>
      <c r="E1454" s="766"/>
      <c r="F1454" s="766"/>
      <c r="G1454" s="766"/>
      <c r="H1454" s="791"/>
      <c r="I1454" s="782">
        <f>J1446*蔀日</f>
        <v>849814026</v>
      </c>
      <c r="J1454" s="781"/>
      <c r="K1454" s="782">
        <f>L1444*蔀日</f>
        <v>0</v>
      </c>
      <c r="L1454" s="781"/>
      <c r="M1454" s="782">
        <f>N1444*蔀日</f>
        <v>0</v>
      </c>
      <c r="N1454" s="781"/>
      <c r="O1454" s="782">
        <f>P1444*蔀日</f>
        <v>0</v>
      </c>
      <c r="P1454" s="781"/>
      <c r="Q1454" s="782">
        <f>R1444*蔀日</f>
        <v>0</v>
      </c>
      <c r="R1454" s="781"/>
    </row>
    <row r="1455" spans="2:18" s="38" customFormat="1" ht="13.5" customHeight="1" thickBot="1">
      <c r="B1455" s="766"/>
      <c r="C1455" s="893" t="s">
        <v>1066</v>
      </c>
      <c r="D1455" s="894"/>
      <c r="E1455" s="766"/>
      <c r="F1455" s="810" t="s">
        <v>1067</v>
      </c>
      <c r="G1455" s="861" t="b">
        <f>IF(C1455="keep going",FALSE(),TRUE())</f>
        <v>1</v>
      </c>
      <c r="H1455" s="791" t="s">
        <v>1053</v>
      </c>
      <c r="I1455" s="782"/>
      <c r="J1455" s="781"/>
      <c r="K1455" s="782"/>
      <c r="L1455" s="781"/>
      <c r="M1455" s="782"/>
      <c r="N1455" s="781"/>
      <c r="O1455" s="782"/>
      <c r="P1455" s="781"/>
      <c r="Q1455" s="782"/>
      <c r="R1455" s="781"/>
    </row>
    <row r="1456" spans="2:18" s="38" customFormat="1" ht="13.5" customHeight="1">
      <c r="B1456" s="766"/>
      <c r="C1456" s="766" t="s">
        <v>941</v>
      </c>
      <c r="D1456" s="766"/>
      <c r="E1456" s="766"/>
      <c r="F1456" s="766"/>
      <c r="G1456" s="766"/>
      <c r="H1456" s="791"/>
      <c r="I1456" s="782">
        <f>J1451*木月法</f>
        <v>57384674</v>
      </c>
      <c r="J1456" s="781"/>
      <c r="K1456" s="782">
        <f>L1450*火月法</f>
        <v>0</v>
      </c>
      <c r="L1456" s="781"/>
      <c r="M1456" s="782">
        <f>N1450*土月法</f>
        <v>0</v>
      </c>
      <c r="N1456" s="781"/>
      <c r="O1456" s="782">
        <f>P1450*金月法</f>
        <v>0</v>
      </c>
      <c r="P1456" s="781"/>
      <c r="Q1456" s="782">
        <f>R1450*水月法</f>
        <v>0</v>
      </c>
      <c r="R1456" s="781"/>
    </row>
    <row r="1457" spans="1:18" s="38" customFormat="1" ht="13.5" customHeight="1">
      <c r="B1457" s="766"/>
      <c r="C1457" s="766" t="s">
        <v>942</v>
      </c>
      <c r="D1457" s="766"/>
      <c r="E1457" s="766"/>
      <c r="F1457" s="766"/>
      <c r="G1457" s="766"/>
      <c r="H1457" s="791"/>
      <c r="I1457" s="782">
        <f>I1454+I1456</f>
        <v>907198700</v>
      </c>
      <c r="J1457" s="781"/>
      <c r="K1457" s="782">
        <f>K1454+K1456</f>
        <v>0</v>
      </c>
      <c r="L1457" s="781"/>
      <c r="M1457" s="782">
        <f>M1454+M1456</f>
        <v>0</v>
      </c>
      <c r="N1457" s="781"/>
      <c r="O1457" s="782">
        <f>O1454+O1456</f>
        <v>0</v>
      </c>
      <c r="P1457" s="781"/>
      <c r="Q1457" s="782">
        <f>Q1454+Q1456</f>
        <v>0</v>
      </c>
      <c r="R1457" s="781"/>
    </row>
    <row r="1458" spans="1:18" s="38" customFormat="1" ht="13.5" customHeight="1">
      <c r="B1458" s="766"/>
      <c r="C1458" s="766" t="s">
        <v>943</v>
      </c>
      <c r="D1458" s="766"/>
      <c r="E1458" s="766"/>
      <c r="F1458" s="766"/>
      <c r="G1458" s="766"/>
      <c r="H1458" s="791"/>
      <c r="I1458" s="782">
        <f>INT((I1454+IF(G1455=TRUE(),0,I1457))/4465)</f>
        <v>190327</v>
      </c>
      <c r="J1458" s="781">
        <f>MOD(I1454+IF(G1455=TRUE(),0,I1457),4465)</f>
        <v>3971</v>
      </c>
      <c r="K1458" s="782">
        <f>INT(K1457/4465)</f>
        <v>0</v>
      </c>
      <c r="L1458" s="781">
        <f>MOD(K1457,4465)</f>
        <v>0</v>
      </c>
      <c r="M1458" s="782">
        <f>INT(M1457/4465)</f>
        <v>0</v>
      </c>
      <c r="N1458" s="781">
        <f>MOD(M1457,4465)</f>
        <v>0</v>
      </c>
      <c r="O1458" s="782">
        <f>INT(O1457/4465)</f>
        <v>0</v>
      </c>
      <c r="P1458" s="781">
        <f>MOD(O1457,4465)</f>
        <v>0</v>
      </c>
      <c r="Q1458" s="782">
        <f>INT(Q1457/4465)</f>
        <v>0</v>
      </c>
      <c r="R1458" s="781">
        <f>MOD(Q1457,4465)</f>
        <v>0</v>
      </c>
    </row>
    <row r="1459" spans="1:18" s="38" customFormat="1" ht="13.5" customHeight="1">
      <c r="B1459" s="766"/>
      <c r="C1459" s="766" t="s">
        <v>944</v>
      </c>
      <c r="D1459" s="766"/>
      <c r="E1459" s="766"/>
      <c r="F1459" s="766"/>
      <c r="G1459" s="766"/>
      <c r="H1459" s="791"/>
      <c r="I1459" s="782">
        <f>INT(I1458/木日度法)</f>
        <v>10</v>
      </c>
      <c r="J1459" s="781">
        <f>MOD(I1458,木日度法)</f>
        <v>17247</v>
      </c>
      <c r="K1459" s="782">
        <f>INT(K1458/火日度法)</f>
        <v>0</v>
      </c>
      <c r="L1459" s="781">
        <f>MOD(K1458,火日度法)</f>
        <v>0</v>
      </c>
      <c r="M1459" s="782">
        <f>INT(M1458/土日度法)</f>
        <v>0</v>
      </c>
      <c r="N1459" s="781">
        <f>MOD(M1458,土日度法)</f>
        <v>0</v>
      </c>
      <c r="O1459" s="782">
        <f>INT(O1458/金日度法)</f>
        <v>0</v>
      </c>
      <c r="P1459" s="781">
        <f>MOD(O1458,金日度法)</f>
        <v>0</v>
      </c>
      <c r="Q1459" s="782">
        <f>INT(Q1458/水日度法)</f>
        <v>0</v>
      </c>
      <c r="R1459" s="781">
        <f>MOD(Q1458,水日度法)</f>
        <v>0</v>
      </c>
    </row>
    <row r="1460" spans="1:18" s="38" customFormat="1" ht="13.5" customHeight="1">
      <c r="B1460" s="766"/>
      <c r="C1460" s="766" t="s">
        <v>108</v>
      </c>
      <c r="D1460" s="766"/>
      <c r="E1460" s="766"/>
      <c r="F1460" s="766"/>
      <c r="G1460" s="766"/>
      <c r="H1460" s="791"/>
      <c r="I1460" s="782"/>
      <c r="J1460" s="781"/>
      <c r="K1460" s="782"/>
      <c r="L1460" s="781"/>
      <c r="M1460" s="782"/>
      <c r="N1460" s="781"/>
      <c r="O1460" s="782"/>
      <c r="P1460" s="781"/>
      <c r="Q1460" s="782"/>
      <c r="R1460" s="781"/>
    </row>
    <row r="1461" spans="1:18" ht="11.4" customHeight="1">
      <c r="I1461" s="783"/>
      <c r="J1461" s="797"/>
      <c r="K1461" s="783"/>
      <c r="L1461" s="797"/>
      <c r="M1461" s="783"/>
      <c r="N1461" s="797"/>
      <c r="O1461" s="783"/>
      <c r="P1461" s="797"/>
      <c r="Q1461" s="783"/>
      <c r="R1461" s="797"/>
    </row>
    <row r="1462" spans="1:18" ht="12.6" customHeight="1">
      <c r="A1462" s="688">
        <f>A1410+1</f>
        <v>167</v>
      </c>
      <c r="B1462" t="s">
        <v>1056</v>
      </c>
      <c r="I1462" s="783">
        <f>I1421</f>
        <v>15</v>
      </c>
      <c r="J1462" s="797">
        <f>IF($G$1429="Fuck them!",0,J1421)</f>
        <v>14640.999999999973</v>
      </c>
      <c r="K1462" s="783"/>
      <c r="L1462" s="797"/>
      <c r="M1462" s="783"/>
      <c r="N1462" s="797"/>
      <c r="O1462" s="783"/>
      <c r="P1462" s="797"/>
      <c r="Q1462" s="783"/>
      <c r="R1462" s="797"/>
    </row>
    <row r="1463" spans="1:18" ht="11.4" customHeight="1">
      <c r="H1463" s="321" t="s">
        <v>993</v>
      </c>
      <c r="I1463" s="783">
        <f>IF($G$1429="Units?",I1424,IF($G$1429="Fuck them!",0,IF(F1431="By simple rule of three",I1433,I1459)))</f>
        <v>10</v>
      </c>
      <c r="J1463" s="797">
        <f>IF($G$1429="Units?",J1424,IF($G$1429="Fuck them!",0,IF(G1431="By simple rule of three",J1433,J1459)))</f>
        <v>17247</v>
      </c>
      <c r="K1463" s="783"/>
      <c r="L1463" s="797"/>
      <c r="M1463" s="783"/>
      <c r="N1463" s="797"/>
      <c r="O1463" s="783"/>
      <c r="P1463" s="797"/>
      <c r="Q1463" s="783"/>
      <c r="R1463" s="797"/>
    </row>
    <row r="1464" spans="1:18" ht="11.4" customHeight="1">
      <c r="I1464" s="862">
        <f>I1463+I1462</f>
        <v>25</v>
      </c>
      <c r="J1464" s="863">
        <f>J1463+J1462</f>
        <v>31887.999999999971</v>
      </c>
      <c r="K1464" s="783"/>
      <c r="L1464" s="797"/>
      <c r="M1464" s="783"/>
      <c r="N1464" s="797"/>
      <c r="O1464" s="783"/>
      <c r="P1464" s="797"/>
      <c r="Q1464" s="783"/>
      <c r="R1464" s="797"/>
    </row>
    <row r="1465" spans="1:18" ht="12.6" customHeight="1">
      <c r="I1465" s="783"/>
      <c r="J1465" s="797"/>
    </row>
    <row r="1466" spans="1:18" ht="14.4" customHeight="1">
      <c r="B1466" s="864" t="s">
        <v>1069</v>
      </c>
      <c r="I1466" s="783">
        <f>I1464+INT(J1464/木日度法)</f>
        <v>26</v>
      </c>
      <c r="J1466" s="797">
        <f>MOD(J1464,木日度法)</f>
        <v>14579.999999999971</v>
      </c>
    </row>
    <row r="1467" spans="1:18" ht="14.4" customHeight="1">
      <c r="B1467" s="864"/>
      <c r="I1467" s="783"/>
      <c r="J1467" s="797"/>
    </row>
    <row r="1468" spans="1:18" ht="42.6" customHeight="1">
      <c r="B1468" s="871" t="s">
        <v>1076</v>
      </c>
      <c r="C1468" s="871"/>
      <c r="D1468" s="871"/>
      <c r="E1468" s="871"/>
      <c r="F1468" s="871"/>
      <c r="G1468" s="871"/>
      <c r="H1468" s="872"/>
      <c r="I1468" s="782"/>
      <c r="J1468" s="781"/>
      <c r="K1468" s="782"/>
      <c r="L1468" s="781"/>
      <c r="M1468" s="782"/>
      <c r="N1468" s="781"/>
      <c r="O1468" s="782"/>
      <c r="P1468" s="781"/>
      <c r="Q1468" s="782"/>
      <c r="R1468" s="781"/>
    </row>
    <row r="1469" spans="1:18" ht="14.4" customHeight="1">
      <c r="B1469" s="864"/>
      <c r="I1469" s="783"/>
      <c r="J1469" s="797"/>
    </row>
    <row r="1470" spans="1:18" s="866" customFormat="1">
      <c r="B1470" s="866" t="s">
        <v>1045</v>
      </c>
      <c r="I1470" s="867"/>
      <c r="J1470" s="868"/>
    </row>
    <row r="1471" spans="1:18" s="866" customFormat="1">
      <c r="I1471" s="867"/>
      <c r="J1471" s="868"/>
    </row>
    <row r="1472" spans="1:18" s="866" customFormat="1" ht="13.2" customHeight="1">
      <c r="B1472" s="866" t="s">
        <v>189</v>
      </c>
    </row>
    <row r="1473" spans="1:18" s="866" customFormat="1"/>
    <row r="1474" spans="1:18" ht="13.8" thickBot="1"/>
    <row r="1475" spans="1:18" s="3" customFormat="1" ht="26.4" thickTop="1" thickBot="1">
      <c r="A1475" s="2" t="s">
        <v>190</v>
      </c>
      <c r="B1475" s="3" t="s">
        <v>191</v>
      </c>
    </row>
    <row r="1476" spans="1:18" s="26" customFormat="1" ht="13.8" thickTop="1">
      <c r="A1476" s="45"/>
      <c r="B1476" s="4"/>
      <c r="I1476" s="75"/>
      <c r="J1476" s="75"/>
      <c r="K1476" s="75"/>
      <c r="L1476" s="75"/>
    </row>
    <row r="1477" spans="1:18" s="68" customFormat="1">
      <c r="A1477" s="72"/>
      <c r="B1477" s="88"/>
      <c r="C1477" s="104"/>
      <c r="D1477" s="104"/>
      <c r="E1477" s="104"/>
      <c r="I1477" s="105"/>
      <c r="J1477" s="105"/>
      <c r="K1477" s="105"/>
      <c r="L1477" s="105"/>
    </row>
    <row r="1478" spans="1:18" s="26" customFormat="1" ht="100.8" customHeight="1">
      <c r="A1478" s="45"/>
      <c r="B1478" s="884" t="s">
        <v>1070</v>
      </c>
      <c r="C1478" s="884"/>
      <c r="D1478" s="884"/>
      <c r="E1478" s="884"/>
      <c r="F1478" s="884"/>
      <c r="G1478" s="884"/>
    </row>
    <row r="1479" spans="1:18" s="26" customFormat="1" ht="13.8" thickBot="1">
      <c r="A1479" s="45"/>
      <c r="B1479" s="4"/>
    </row>
    <row r="1480" spans="1:18" s="10" customFormat="1" ht="22.8">
      <c r="A1480" s="45"/>
      <c r="B1480" s="106" t="s">
        <v>184</v>
      </c>
      <c r="C1480" s="107"/>
      <c r="D1480" s="885" t="s">
        <v>192</v>
      </c>
      <c r="E1480" s="885"/>
      <c r="F1480" s="885" t="s">
        <v>193</v>
      </c>
      <c r="G1480" s="885"/>
      <c r="H1480" s="886" t="s">
        <v>111</v>
      </c>
      <c r="I1480" s="886"/>
      <c r="J1480" s="26"/>
      <c r="K1480" s="108" t="s">
        <v>194</v>
      </c>
      <c r="L1480" s="108" t="s">
        <v>195</v>
      </c>
      <c r="M1480"/>
      <c r="Q1480" s="11"/>
      <c r="R1480" s="11"/>
    </row>
    <row r="1481" spans="1:18" s="10" customFormat="1" ht="13.8">
      <c r="A1481">
        <v>1</v>
      </c>
      <c r="B1481" s="109" t="s">
        <v>196</v>
      </c>
      <c r="C1481" s="87"/>
      <c r="D1481" s="110">
        <v>16</v>
      </c>
      <c r="E1481" s="111">
        <v>7320.5</v>
      </c>
      <c r="F1481" s="112">
        <v>2</v>
      </c>
      <c r="G1481" s="111">
        <v>13811</v>
      </c>
      <c r="H1481" s="113">
        <f>G1481+F1481*木日度法</f>
        <v>48427</v>
      </c>
      <c r="I1481" s="114">
        <f>E1481+D1481*木日度法</f>
        <v>284248.5</v>
      </c>
      <c r="J1481"/>
      <c r="K1481" s="115">
        <v>0</v>
      </c>
      <c r="L1481" s="981">
        <v>0</v>
      </c>
      <c r="M1481"/>
      <c r="Q1481" s="11"/>
      <c r="R1481" s="11"/>
    </row>
    <row r="1482" spans="1:18" s="10" customFormat="1" ht="14.4">
      <c r="A1482">
        <v>2</v>
      </c>
      <c r="B1482" s="116" t="s">
        <v>197</v>
      </c>
      <c r="C1482" s="87"/>
      <c r="D1482" s="110">
        <v>58</v>
      </c>
      <c r="E1482" s="117"/>
      <c r="F1482" s="112">
        <v>11</v>
      </c>
      <c r="G1482" s="87"/>
      <c r="H1482" s="113">
        <f>F1482</f>
        <v>11</v>
      </c>
      <c r="I1482" s="118">
        <f>D1482</f>
        <v>58</v>
      </c>
      <c r="J1482"/>
      <c r="K1482" s="119">
        <f>D1481*木日度法+E1481</f>
        <v>284248.5</v>
      </c>
      <c r="L1482" s="982">
        <f>F1481*木日度法+G1481</f>
        <v>48427</v>
      </c>
      <c r="M1482"/>
      <c r="Q1482" s="11"/>
      <c r="R1482" s="11"/>
    </row>
    <row r="1483" spans="1:18" s="10" customFormat="1" ht="14.4">
      <c r="A1483">
        <v>3</v>
      </c>
      <c r="B1483" s="116" t="s">
        <v>198</v>
      </c>
      <c r="C1483" s="87"/>
      <c r="D1483" s="110">
        <v>58</v>
      </c>
      <c r="E1483" s="117"/>
      <c r="F1483" s="112">
        <v>9</v>
      </c>
      <c r="G1483" s="87"/>
      <c r="H1483" s="113">
        <f>F1483</f>
        <v>9</v>
      </c>
      <c r="I1483" s="118">
        <f>D1483</f>
        <v>58</v>
      </c>
      <c r="J1483"/>
      <c r="K1483" s="119">
        <f t="shared" ref="K1483:K1489" si="252">K1482+D1482*木日度法</f>
        <v>1288112.5</v>
      </c>
      <c r="L1483" s="982">
        <f>L1482+F1482*木日度法</f>
        <v>238815</v>
      </c>
      <c r="M1483"/>
      <c r="Q1483" s="11"/>
      <c r="R1483" s="11"/>
    </row>
    <row r="1484" spans="1:18" s="10" customFormat="1" ht="13.8">
      <c r="A1484">
        <v>4</v>
      </c>
      <c r="B1484" s="109" t="s">
        <v>199</v>
      </c>
      <c r="C1484" s="87"/>
      <c r="D1484" s="110">
        <v>25</v>
      </c>
      <c r="E1484" s="117"/>
      <c r="F1484" s="112">
        <v>0</v>
      </c>
      <c r="G1484" s="87"/>
      <c r="H1484" s="113">
        <v>0</v>
      </c>
      <c r="I1484" s="120">
        <f>I1483</f>
        <v>58</v>
      </c>
      <c r="J1484"/>
      <c r="K1484" s="119">
        <f t="shared" si="252"/>
        <v>2291976.5</v>
      </c>
      <c r="L1484" s="982">
        <f>L1483+F1483*木日度法</f>
        <v>394587</v>
      </c>
      <c r="M1484"/>
      <c r="Q1484" s="11"/>
      <c r="R1484" s="11"/>
    </row>
    <row r="1485" spans="1:18" s="10" customFormat="1" ht="13.8">
      <c r="A1485">
        <v>5</v>
      </c>
      <c r="B1485" s="109" t="s">
        <v>200</v>
      </c>
      <c r="C1485" s="87"/>
      <c r="D1485" s="110">
        <v>84</v>
      </c>
      <c r="E1485" s="117"/>
      <c r="F1485" s="112">
        <v>-12</v>
      </c>
      <c r="G1485" s="87"/>
      <c r="H1485" s="113">
        <f>-1</f>
        <v>-1</v>
      </c>
      <c r="I1485" s="118">
        <v>7</v>
      </c>
      <c r="J1485"/>
      <c r="K1485" s="119">
        <f t="shared" si="252"/>
        <v>2724676.5</v>
      </c>
      <c r="L1485" s="982">
        <f>L1484+F1484*木日度法</f>
        <v>394587</v>
      </c>
      <c r="M1485"/>
      <c r="Q1485" s="11"/>
      <c r="R1485" s="11"/>
    </row>
    <row r="1486" spans="1:18" s="10" customFormat="1" ht="13.8">
      <c r="A1486">
        <v>6</v>
      </c>
      <c r="B1486" s="109" t="s">
        <v>201</v>
      </c>
      <c r="C1486" s="87"/>
      <c r="D1486" s="110">
        <f>D1484</f>
        <v>25</v>
      </c>
      <c r="E1486" s="117"/>
      <c r="F1486" s="112">
        <v>0</v>
      </c>
      <c r="G1486" s="87"/>
      <c r="H1486" s="113">
        <v>0</v>
      </c>
      <c r="I1486" s="120">
        <v>7</v>
      </c>
      <c r="J1486"/>
      <c r="K1486" s="119">
        <f t="shared" si="252"/>
        <v>4178548.5</v>
      </c>
      <c r="L1486" s="982">
        <f>L1485+F1485*木日度法</f>
        <v>186891</v>
      </c>
      <c r="M1486"/>
      <c r="Q1486" s="11"/>
      <c r="R1486" s="11"/>
    </row>
    <row r="1487" spans="1:18" s="10" customFormat="1" ht="14.4">
      <c r="A1487">
        <v>7</v>
      </c>
      <c r="B1487" s="116" t="s">
        <v>202</v>
      </c>
      <c r="C1487" s="87"/>
      <c r="D1487" s="110">
        <f>D1483</f>
        <v>58</v>
      </c>
      <c r="E1487" s="117"/>
      <c r="F1487" s="112">
        <v>9</v>
      </c>
      <c r="G1487" s="87"/>
      <c r="H1487" s="113">
        <f>H1483</f>
        <v>9</v>
      </c>
      <c r="I1487" s="118">
        <f>I1483</f>
        <v>58</v>
      </c>
      <c r="J1487"/>
      <c r="K1487" s="119">
        <f t="shared" si="252"/>
        <v>4611248.5</v>
      </c>
      <c r="L1487" s="982">
        <f>L1486+F1486*木日度法</f>
        <v>186891</v>
      </c>
      <c r="M1487"/>
      <c r="Q1487" s="11"/>
      <c r="R1487" s="11"/>
    </row>
    <row r="1488" spans="1:18" s="10" customFormat="1" ht="14.4">
      <c r="A1488">
        <v>8</v>
      </c>
      <c r="B1488" s="116" t="s">
        <v>203</v>
      </c>
      <c r="C1488" s="87"/>
      <c r="D1488" s="110">
        <f>D1482</f>
        <v>58</v>
      </c>
      <c r="E1488" s="117"/>
      <c r="F1488" s="112">
        <v>11</v>
      </c>
      <c r="G1488" s="87"/>
      <c r="H1488" s="113">
        <f>H1482</f>
        <v>11</v>
      </c>
      <c r="I1488" s="118">
        <f>I1482</f>
        <v>58</v>
      </c>
      <c r="J1488"/>
      <c r="K1488" s="119">
        <f t="shared" si="252"/>
        <v>5615112.5</v>
      </c>
      <c r="L1488" s="982">
        <f>L1487+F1487*木日度法</f>
        <v>342663</v>
      </c>
      <c r="M1488"/>
      <c r="Q1488" s="11"/>
      <c r="R1488" s="11"/>
    </row>
    <row r="1489" spans="1:18" s="10" customFormat="1" ht="13.8">
      <c r="A1489">
        <v>9</v>
      </c>
      <c r="B1489" s="109" t="s">
        <v>204</v>
      </c>
      <c r="C1489" s="87"/>
      <c r="D1489" s="110">
        <v>16</v>
      </c>
      <c r="E1489" s="111">
        <f>E1481</f>
        <v>7320.5</v>
      </c>
      <c r="F1489" s="112">
        <v>2</v>
      </c>
      <c r="G1489" s="111">
        <f>G1481</f>
        <v>13811</v>
      </c>
      <c r="H1489" s="113">
        <f>G1489+F1489*木日度法</f>
        <v>48427</v>
      </c>
      <c r="I1489" s="114">
        <f>E1489+D1489*木日度法</f>
        <v>284248.5</v>
      </c>
      <c r="J1489"/>
      <c r="K1489" s="121">
        <f t="shared" si="252"/>
        <v>6618976.5</v>
      </c>
      <c r="L1489" s="983">
        <f>L1488+F1488*木日度法</f>
        <v>533051</v>
      </c>
      <c r="M1489"/>
      <c r="Q1489" s="11"/>
      <c r="R1489" s="11"/>
    </row>
    <row r="1490" spans="1:18" s="10" customFormat="1" ht="14.4" thickBot="1">
      <c r="A1490"/>
      <c r="B1490" s="122" t="s">
        <v>205</v>
      </c>
      <c r="C1490" s="123"/>
      <c r="D1490" s="124">
        <v>398</v>
      </c>
      <c r="E1490" s="125">
        <f>E1489*2</f>
        <v>14641</v>
      </c>
      <c r="F1490" s="126">
        <f>SUM(F1481:F1489)+INT(G1481*2/木日度法)</f>
        <v>33</v>
      </c>
      <c r="G1490" s="125">
        <f>MOD(G1489*2,木日度法)</f>
        <v>10314</v>
      </c>
      <c r="H1490" s="127"/>
      <c r="I1490" s="128"/>
      <c r="J1490"/>
      <c r="K1490"/>
      <c r="L1490" s="26"/>
      <c r="M1490" s="26"/>
      <c r="Q1490" s="11"/>
      <c r="R1490" s="11"/>
    </row>
    <row r="1491" spans="1:18" s="10" customFormat="1" ht="13.8">
      <c r="A1491"/>
      <c r="B1491"/>
      <c r="C1491"/>
      <c r="D1491"/>
      <c r="E1491"/>
      <c r="F1491"/>
      <c r="G1491"/>
      <c r="H1491"/>
      <c r="I1491"/>
      <c r="J1491"/>
      <c r="K1491"/>
      <c r="L1491"/>
      <c r="M1491" s="26"/>
      <c r="Q1491" s="11"/>
      <c r="R1491" s="11"/>
    </row>
    <row r="1492" spans="1:18" s="10" customFormat="1" ht="13.8">
      <c r="A1492" s="86"/>
      <c r="B1492" s="129"/>
      <c r="C1492" s="130" t="s">
        <v>206</v>
      </c>
      <c r="D1492" s="131" t="s">
        <v>207</v>
      </c>
      <c r="Q1492" s="11"/>
      <c r="R1492" s="11"/>
    </row>
    <row r="1493" spans="1:18" s="10" customFormat="1" ht="13.8">
      <c r="A1493" s="86"/>
      <c r="B1493" s="132" t="s">
        <v>208</v>
      </c>
      <c r="C1493" s="133">
        <f>(D1489*木日度法+E1489)*2</f>
        <v>568497</v>
      </c>
      <c r="D1493" s="134">
        <f>(F1489*木日度法+G1489)*2</f>
        <v>96854</v>
      </c>
      <c r="Q1493" s="11"/>
      <c r="R1493" s="11"/>
    </row>
    <row r="1494" spans="1:18" s="10" customFormat="1" ht="13.8">
      <c r="A1494" s="86"/>
      <c r="B1494" s="135" t="s">
        <v>209</v>
      </c>
      <c r="C1494" s="136">
        <f>SUM(D1482:D1488)*木日度法</f>
        <v>6334728</v>
      </c>
      <c r="D1494" s="137">
        <f>SUM(F1482:F1488)*木日度法</f>
        <v>484624</v>
      </c>
      <c r="F1494"/>
      <c r="G1494"/>
      <c r="Q1494" s="11"/>
      <c r="R1494" s="11"/>
    </row>
    <row r="1495" spans="1:18" s="10" customFormat="1" ht="13.8">
      <c r="A1495" s="86"/>
      <c r="Q1495" s="11"/>
      <c r="R1495" s="11"/>
    </row>
    <row r="1496" spans="1:18" s="10" customFormat="1" ht="100.2" customHeight="1">
      <c r="A1496" s="86"/>
      <c r="B1496" s="887" t="s">
        <v>1071</v>
      </c>
      <c r="C1496" s="887"/>
      <c r="D1496" s="887"/>
      <c r="E1496" s="887"/>
      <c r="F1496" s="887"/>
      <c r="G1496" s="887"/>
      <c r="Q1496" s="11"/>
      <c r="R1496" s="11"/>
    </row>
    <row r="1497" spans="1:18" s="10" customFormat="1" ht="16.2" thickBot="1">
      <c r="A1497" s="86"/>
      <c r="B1497" s="69"/>
      <c r="M1497"/>
      <c r="Q1497" s="11"/>
      <c r="R1497" s="11"/>
    </row>
    <row r="1498" spans="1:18" s="10" customFormat="1" ht="22.8">
      <c r="A1498" s="45"/>
      <c r="B1498" s="106" t="s">
        <v>185</v>
      </c>
      <c r="C1498" s="107"/>
      <c r="D1498" s="885" t="s">
        <v>192</v>
      </c>
      <c r="E1498" s="885"/>
      <c r="F1498" s="885" t="s">
        <v>193</v>
      </c>
      <c r="G1498" s="885"/>
      <c r="H1498" s="886" t="s">
        <v>111</v>
      </c>
      <c r="I1498" s="886"/>
      <c r="K1498" s="108" t="s">
        <v>194</v>
      </c>
      <c r="L1498" s="108" t="s">
        <v>195</v>
      </c>
      <c r="M1498"/>
      <c r="Q1498" s="11"/>
      <c r="R1498" s="11"/>
    </row>
    <row r="1499" spans="1:18" s="10" customFormat="1" ht="13.8">
      <c r="A1499">
        <v>1</v>
      </c>
      <c r="B1499" s="109" t="s">
        <v>196</v>
      </c>
      <c r="C1499" s="87"/>
      <c r="D1499" s="110">
        <v>71</v>
      </c>
      <c r="E1499" s="111">
        <v>2694</v>
      </c>
      <c r="F1499" s="112">
        <v>55</v>
      </c>
      <c r="G1499" s="111">
        <v>2254.5</v>
      </c>
      <c r="H1499" s="113">
        <f>G1499+F1499*火日度法</f>
        <v>195634.5</v>
      </c>
      <c r="I1499" s="114">
        <f>E1499+D1499*火日度法</f>
        <v>252330</v>
      </c>
      <c r="K1499" s="115">
        <v>0</v>
      </c>
      <c r="L1499" s="981">
        <v>0</v>
      </c>
      <c r="M1499"/>
      <c r="Q1499" s="11"/>
      <c r="R1499" s="11"/>
    </row>
    <row r="1500" spans="1:18" s="10" customFormat="1" ht="14.4">
      <c r="A1500">
        <v>2</v>
      </c>
      <c r="B1500" s="116" t="s">
        <v>197</v>
      </c>
      <c r="C1500" s="87"/>
      <c r="D1500" s="110">
        <v>184</v>
      </c>
      <c r="E1500" s="117"/>
      <c r="F1500" s="112">
        <v>112</v>
      </c>
      <c r="G1500" s="87"/>
      <c r="H1500" s="113">
        <v>14</v>
      </c>
      <c r="I1500" s="118">
        <v>23</v>
      </c>
      <c r="K1500" s="119">
        <f>D1499*火日度法+E1499</f>
        <v>252330</v>
      </c>
      <c r="L1500" s="982">
        <f>L1499+F1499*火日度法+G1499</f>
        <v>195634.5</v>
      </c>
      <c r="M1500"/>
      <c r="Q1500" s="11"/>
      <c r="R1500" s="11"/>
    </row>
    <row r="1501" spans="1:18" s="10" customFormat="1" ht="14.4">
      <c r="A1501">
        <v>3</v>
      </c>
      <c r="B1501" s="116" t="s">
        <v>198</v>
      </c>
      <c r="C1501" s="87"/>
      <c r="D1501" s="110">
        <v>92</v>
      </c>
      <c r="E1501" s="117"/>
      <c r="F1501" s="112">
        <v>48</v>
      </c>
      <c r="G1501" s="87"/>
      <c r="H1501" s="113">
        <v>12</v>
      </c>
      <c r="I1501" s="118">
        <v>23</v>
      </c>
      <c r="K1501" s="119">
        <f t="shared" ref="K1501:K1507" si="253">K1500+D1500*火日度法</f>
        <v>899274</v>
      </c>
      <c r="L1501" s="982">
        <f>L1500+F1500*火日度法+G1500</f>
        <v>589426.5</v>
      </c>
      <c r="M1501"/>
      <c r="Q1501" s="11"/>
      <c r="R1501" s="11"/>
    </row>
    <row r="1502" spans="1:18" s="10" customFormat="1" ht="13.8">
      <c r="A1502">
        <v>4</v>
      </c>
      <c r="B1502" s="109" t="s">
        <v>199</v>
      </c>
      <c r="C1502" s="87"/>
      <c r="D1502" s="110">
        <v>11</v>
      </c>
      <c r="E1502" s="117"/>
      <c r="F1502" s="112">
        <v>0</v>
      </c>
      <c r="G1502" s="87"/>
      <c r="H1502" s="113">
        <v>0</v>
      </c>
      <c r="I1502" s="118">
        <v>23</v>
      </c>
      <c r="K1502" s="119">
        <f t="shared" si="253"/>
        <v>1222746</v>
      </c>
      <c r="L1502" s="982">
        <f>L1501+F1501*火日度法+G1501</f>
        <v>758194.5</v>
      </c>
      <c r="M1502"/>
      <c r="Q1502" s="11"/>
      <c r="R1502" s="11"/>
    </row>
    <row r="1503" spans="1:18" s="10" customFormat="1" ht="13.8">
      <c r="A1503">
        <v>5</v>
      </c>
      <c r="B1503" s="109" t="s">
        <v>200</v>
      </c>
      <c r="C1503" s="87"/>
      <c r="D1503" s="110">
        <v>62</v>
      </c>
      <c r="E1503" s="117"/>
      <c r="F1503" s="112">
        <v>-17</v>
      </c>
      <c r="G1503" s="87"/>
      <c r="H1503" s="113">
        <v>-17</v>
      </c>
      <c r="I1503" s="118">
        <v>62</v>
      </c>
      <c r="K1503" s="119">
        <f t="shared" si="253"/>
        <v>1261422</v>
      </c>
      <c r="L1503" s="982">
        <f>L1502+F1502*火日度法+G1502</f>
        <v>758194.5</v>
      </c>
      <c r="M1503"/>
      <c r="Q1503" s="11"/>
      <c r="R1503" s="11"/>
    </row>
    <row r="1504" spans="1:18" s="10" customFormat="1" ht="13.8">
      <c r="A1504">
        <v>6</v>
      </c>
      <c r="B1504" s="109" t="s">
        <v>201</v>
      </c>
      <c r="C1504" s="87"/>
      <c r="D1504" s="110">
        <v>11</v>
      </c>
      <c r="E1504" s="117"/>
      <c r="F1504" s="112">
        <v>0</v>
      </c>
      <c r="G1504" s="87"/>
      <c r="H1504" s="113">
        <v>0</v>
      </c>
      <c r="I1504" s="118">
        <v>62</v>
      </c>
      <c r="K1504" s="119">
        <f t="shared" si="253"/>
        <v>1479414</v>
      </c>
      <c r="L1504" s="982">
        <f>L1503+F1503*火日度法+G1503</f>
        <v>698422.5</v>
      </c>
      <c r="M1504"/>
      <c r="Q1504" s="11"/>
      <c r="R1504" s="11"/>
    </row>
    <row r="1505" spans="1:18" s="10" customFormat="1" ht="14.4">
      <c r="A1505">
        <v>7</v>
      </c>
      <c r="B1505" s="116" t="s">
        <v>202</v>
      </c>
      <c r="C1505" s="87"/>
      <c r="D1505" s="110">
        <v>92</v>
      </c>
      <c r="E1505" s="117"/>
      <c r="F1505" s="112">
        <v>48</v>
      </c>
      <c r="G1505" s="87"/>
      <c r="H1505" s="113">
        <v>12</v>
      </c>
      <c r="I1505" s="118">
        <v>23</v>
      </c>
      <c r="K1505" s="119">
        <f t="shared" si="253"/>
        <v>1518090</v>
      </c>
      <c r="L1505" s="982">
        <f>L1504+F1504*火日度法+G1504</f>
        <v>698422.5</v>
      </c>
      <c r="M1505"/>
      <c r="Q1505" s="11"/>
      <c r="R1505" s="11"/>
    </row>
    <row r="1506" spans="1:18" s="10" customFormat="1" ht="14.4">
      <c r="A1506">
        <v>8</v>
      </c>
      <c r="B1506" s="116" t="s">
        <v>203</v>
      </c>
      <c r="C1506" s="87"/>
      <c r="D1506" s="110">
        <v>184</v>
      </c>
      <c r="E1506" s="117"/>
      <c r="F1506" s="112">
        <v>112</v>
      </c>
      <c r="G1506" s="87"/>
      <c r="H1506" s="113">
        <v>14</v>
      </c>
      <c r="I1506" s="118">
        <v>23</v>
      </c>
      <c r="K1506" s="119">
        <f t="shared" si="253"/>
        <v>1841562</v>
      </c>
      <c r="L1506" s="982">
        <f>L1505+F1505*火日度法+G1505</f>
        <v>867190.5</v>
      </c>
      <c r="M1506"/>
      <c r="Q1506" s="11"/>
      <c r="R1506" s="11"/>
    </row>
    <row r="1507" spans="1:18" s="10" customFormat="1" ht="13.8">
      <c r="A1507">
        <v>9</v>
      </c>
      <c r="B1507" s="109" t="s">
        <v>204</v>
      </c>
      <c r="C1507" s="87"/>
      <c r="D1507" s="110">
        <f>D1499</f>
        <v>71</v>
      </c>
      <c r="E1507" s="111">
        <f>E1499</f>
        <v>2694</v>
      </c>
      <c r="F1507" s="112">
        <f>F1499</f>
        <v>55</v>
      </c>
      <c r="G1507" s="111">
        <f>G1499</f>
        <v>2254.5</v>
      </c>
      <c r="H1507" s="113">
        <f>G1507+F1507*火日度法</f>
        <v>195634.5</v>
      </c>
      <c r="I1507" s="114">
        <f>E1507+D1507*火日度法</f>
        <v>252330</v>
      </c>
      <c r="K1507" s="121">
        <f t="shared" si="253"/>
        <v>2488506</v>
      </c>
      <c r="L1507" s="983">
        <f>L1506+F1506*火日度法+G1506</f>
        <v>1260982.5</v>
      </c>
      <c r="M1507"/>
      <c r="Q1507" s="11"/>
      <c r="R1507" s="11"/>
    </row>
    <row r="1508" spans="1:18" s="10" customFormat="1" ht="14.4" thickBot="1">
      <c r="A1508"/>
      <c r="B1508" s="122" t="s">
        <v>205</v>
      </c>
      <c r="C1508" s="123"/>
      <c r="D1508" s="124">
        <f>SUM(D1499:D1507)+INT(E1499*2/火日度法)</f>
        <v>779</v>
      </c>
      <c r="E1508" s="125">
        <f>MOD(E1507*2,火日度法)</f>
        <v>1872</v>
      </c>
      <c r="F1508" s="126">
        <f>SUM(F1499:F1507)+INT(G1499*2/火日度法)</f>
        <v>414</v>
      </c>
      <c r="G1508" s="125">
        <f>MOD(G1507*2,火日度法)</f>
        <v>993</v>
      </c>
      <c r="H1508" s="127"/>
      <c r="I1508" s="128"/>
      <c r="K1508"/>
      <c r="L1508"/>
      <c r="M1508"/>
      <c r="Q1508" s="11"/>
      <c r="R1508" s="11"/>
    </row>
    <row r="1509" spans="1:18" s="10" customFormat="1" ht="15.6">
      <c r="A1509" s="86"/>
      <c r="B1509" s="69"/>
      <c r="Q1509" s="11"/>
      <c r="R1509" s="11"/>
    </row>
    <row r="1510" spans="1:18" s="10" customFormat="1" ht="13.8">
      <c r="A1510" s="86"/>
      <c r="B1510" s="129"/>
      <c r="C1510" s="130" t="s">
        <v>206</v>
      </c>
      <c r="D1510" s="131" t="s">
        <v>207</v>
      </c>
      <c r="Q1510" s="11"/>
      <c r="R1510" s="11"/>
    </row>
    <row r="1511" spans="1:18" s="10" customFormat="1" ht="13.8">
      <c r="A1511" s="86"/>
      <c r="B1511" s="132" t="s">
        <v>208</v>
      </c>
      <c r="C1511" s="133">
        <f>(D1507*火日度法+E1507)*2</f>
        <v>504660</v>
      </c>
      <c r="D1511" s="134">
        <f>(F1507*火日度法+G1507)*2</f>
        <v>391269</v>
      </c>
      <c r="F1511"/>
      <c r="Q1511" s="11"/>
      <c r="R1511" s="11"/>
    </row>
    <row r="1512" spans="1:18" s="10" customFormat="1" ht="13.8">
      <c r="A1512" s="86"/>
      <c r="B1512" s="135" t="s">
        <v>209</v>
      </c>
      <c r="C1512" s="136">
        <f>SUM(D1500:D1506)*火日度法</f>
        <v>2236176</v>
      </c>
      <c r="D1512" s="137">
        <f>SUM(F1500:F1506)*火日度法</f>
        <v>1065348</v>
      </c>
      <c r="F1512"/>
      <c r="Q1512" s="11"/>
      <c r="R1512" s="11"/>
    </row>
    <row r="1513" spans="1:18" s="10" customFormat="1" ht="15.6">
      <c r="A1513" s="86"/>
      <c r="B1513" s="69"/>
      <c r="Q1513" s="11"/>
      <c r="R1513" s="11"/>
    </row>
    <row r="1514" spans="1:18" s="10" customFormat="1" ht="85.8" customHeight="1">
      <c r="A1514" s="86"/>
      <c r="B1514" s="884" t="s">
        <v>1072</v>
      </c>
      <c r="C1514" s="884"/>
      <c r="D1514" s="884"/>
      <c r="E1514" s="884"/>
      <c r="F1514" s="884"/>
      <c r="G1514" s="884"/>
      <c r="Q1514" s="11"/>
      <c r="R1514" s="11"/>
    </row>
    <row r="1515" spans="1:18" s="10" customFormat="1" ht="14.4" thickBot="1">
      <c r="A1515" s="86"/>
      <c r="B1515" s="4"/>
      <c r="Q1515" s="11"/>
      <c r="R1515" s="11"/>
    </row>
    <row r="1516" spans="1:18" s="10" customFormat="1" ht="22.8">
      <c r="A1516" s="45"/>
      <c r="B1516" s="106" t="s">
        <v>186</v>
      </c>
      <c r="C1516" s="107"/>
      <c r="D1516" s="885" t="s">
        <v>192</v>
      </c>
      <c r="E1516" s="885"/>
      <c r="F1516" s="885" t="s">
        <v>193</v>
      </c>
      <c r="G1516" s="885"/>
      <c r="H1516" s="886" t="s">
        <v>111</v>
      </c>
      <c r="I1516" s="886"/>
      <c r="K1516" s="108" t="s">
        <v>194</v>
      </c>
      <c r="L1516" s="108" t="s">
        <v>195</v>
      </c>
      <c r="M1516"/>
      <c r="Q1516" s="11"/>
      <c r="R1516" s="11"/>
    </row>
    <row r="1517" spans="1:18" s="10" customFormat="1" ht="13.8">
      <c r="A1517">
        <v>1</v>
      </c>
      <c r="B1517" s="109" t="s">
        <v>196</v>
      </c>
      <c r="C1517" s="87"/>
      <c r="D1517" s="110">
        <v>19</v>
      </c>
      <c r="E1517" s="111">
        <v>1081.5</v>
      </c>
      <c r="F1517" s="112">
        <v>3</v>
      </c>
      <c r="G1517" s="111">
        <v>14726.5</v>
      </c>
      <c r="H1517" s="113">
        <f>G1517+F1517*土日度法</f>
        <v>123878.5</v>
      </c>
      <c r="I1517" s="114">
        <f>E1517+D1517*土日度法</f>
        <v>692377.5</v>
      </c>
      <c r="K1517" s="138">
        <v>0</v>
      </c>
      <c r="L1517" s="981">
        <v>0</v>
      </c>
      <c r="M1517"/>
      <c r="Q1517" s="11"/>
      <c r="R1517" s="11"/>
    </row>
    <row r="1518" spans="1:18" s="10" customFormat="1" ht="13.8">
      <c r="A1518">
        <v>2</v>
      </c>
      <c r="B1518" s="139" t="s">
        <v>197</v>
      </c>
      <c r="C1518" s="87"/>
      <c r="D1518" s="110">
        <v>86</v>
      </c>
      <c r="E1518" s="117"/>
      <c r="F1518" s="112">
        <v>6</v>
      </c>
      <c r="G1518" s="87"/>
      <c r="H1518" s="113">
        <v>3</v>
      </c>
      <c r="I1518" s="118">
        <v>43</v>
      </c>
      <c r="K1518" s="140">
        <f>D1517*土日度法+E1517</f>
        <v>692377.5</v>
      </c>
      <c r="L1518" s="982">
        <f>L1517+F1517*土日度法+G1517</f>
        <v>123878.5</v>
      </c>
      <c r="M1518"/>
      <c r="Q1518" s="11"/>
      <c r="R1518" s="11"/>
    </row>
    <row r="1519" spans="1:18" s="10" customFormat="1" ht="13.8">
      <c r="A1519">
        <v>3</v>
      </c>
      <c r="B1519" s="109" t="s">
        <v>199</v>
      </c>
      <c r="C1519" s="87"/>
      <c r="D1519" s="141">
        <v>33</v>
      </c>
      <c r="E1519" s="117"/>
      <c r="F1519" s="112">
        <v>0</v>
      </c>
      <c r="G1519" s="87"/>
      <c r="H1519" s="113">
        <v>0</v>
      </c>
      <c r="I1519" s="118">
        <f>I1518</f>
        <v>43</v>
      </c>
      <c r="K1519" s="140">
        <f>K1518+D1518*土日度法</f>
        <v>3821401.5</v>
      </c>
      <c r="L1519" s="982">
        <f>L1518+F1518*土日度法+G1518</f>
        <v>342182.5</v>
      </c>
      <c r="M1519"/>
      <c r="Q1519" s="11"/>
      <c r="R1519" s="11"/>
    </row>
    <row r="1520" spans="1:18" s="10" customFormat="1" ht="13.8">
      <c r="A1520">
        <v>4</v>
      </c>
      <c r="B1520" s="109" t="s">
        <v>200</v>
      </c>
      <c r="C1520" s="87"/>
      <c r="D1520" s="110">
        <v>102</v>
      </c>
      <c r="E1520" s="117"/>
      <c r="F1520" s="112">
        <v>-6</v>
      </c>
      <c r="G1520" s="87"/>
      <c r="H1520" s="113">
        <v>-1</v>
      </c>
      <c r="I1520" s="118">
        <v>17</v>
      </c>
      <c r="K1520" s="140">
        <f>K1519+D1519*土日度法</f>
        <v>5022073.5</v>
      </c>
      <c r="L1520" s="982">
        <f>L1519+F1519*土日度法+G1519</f>
        <v>342182.5</v>
      </c>
      <c r="M1520"/>
      <c r="Q1520" s="11"/>
      <c r="R1520" s="11"/>
    </row>
    <row r="1521" spans="1:18" s="10" customFormat="1" ht="13.8">
      <c r="A1521">
        <v>5</v>
      </c>
      <c r="B1521" s="109" t="s">
        <v>201</v>
      </c>
      <c r="C1521" s="87"/>
      <c r="D1521" s="141">
        <f>D1519</f>
        <v>33</v>
      </c>
      <c r="E1521" s="117"/>
      <c r="F1521" s="112">
        <v>0</v>
      </c>
      <c r="G1521" s="87"/>
      <c r="H1521" s="113">
        <v>0</v>
      </c>
      <c r="I1521" s="118">
        <v>17</v>
      </c>
      <c r="K1521" s="140">
        <f>K1520+D1520*土日度法</f>
        <v>8733241.5</v>
      </c>
      <c r="L1521" s="982">
        <f>L1520+F1520*土日度法+G1520</f>
        <v>123878.5</v>
      </c>
      <c r="M1521"/>
      <c r="Q1521" s="11"/>
      <c r="R1521" s="11"/>
    </row>
    <row r="1522" spans="1:18" s="10" customFormat="1" ht="13.8">
      <c r="A1522">
        <v>6</v>
      </c>
      <c r="B1522" s="139" t="s">
        <v>202</v>
      </c>
      <c r="C1522" s="87"/>
      <c r="D1522" s="110">
        <f>D1518</f>
        <v>86</v>
      </c>
      <c r="E1522" s="117"/>
      <c r="F1522" s="112">
        <f>F1518</f>
        <v>6</v>
      </c>
      <c r="G1522" s="87"/>
      <c r="H1522" s="113">
        <f>H1518</f>
        <v>3</v>
      </c>
      <c r="I1522" s="118">
        <f>I1518</f>
        <v>43</v>
      </c>
      <c r="K1522" s="140">
        <f>K1521+D1521*土日度法</f>
        <v>9933913.5</v>
      </c>
      <c r="L1522" s="982">
        <f>L1521+F1521*土日度法+G1521</f>
        <v>123878.5</v>
      </c>
      <c r="M1522"/>
      <c r="Q1522" s="11"/>
      <c r="R1522" s="11"/>
    </row>
    <row r="1523" spans="1:18" s="10" customFormat="1" ht="13.8">
      <c r="A1523">
        <v>7</v>
      </c>
      <c r="B1523" s="109" t="s">
        <v>204</v>
      </c>
      <c r="C1523" s="87"/>
      <c r="D1523" s="110">
        <f>D1517</f>
        <v>19</v>
      </c>
      <c r="E1523" s="111">
        <f>E1517</f>
        <v>1081.5</v>
      </c>
      <c r="F1523" s="112">
        <f>F1517</f>
        <v>3</v>
      </c>
      <c r="G1523" s="111">
        <f>G1517</f>
        <v>14726.5</v>
      </c>
      <c r="H1523" s="113">
        <f>G1523+F1523*土日度法</f>
        <v>123878.5</v>
      </c>
      <c r="I1523" s="114">
        <f>E1523+D1523*土日度法</f>
        <v>692377.5</v>
      </c>
      <c r="K1523" s="142">
        <f>K1522+D1522*土日度法</f>
        <v>13062937.5</v>
      </c>
      <c r="L1523" s="983">
        <f>L1522+F1522*土日度法+G1522</f>
        <v>342182.5</v>
      </c>
      <c r="M1523"/>
      <c r="Q1523" s="11"/>
      <c r="R1523" s="11"/>
    </row>
    <row r="1524" spans="1:18" s="10" customFormat="1" ht="14.4" thickBot="1">
      <c r="A1524"/>
      <c r="B1524" s="122" t="s">
        <v>205</v>
      </c>
      <c r="C1524" s="123"/>
      <c r="D1524" s="124">
        <f>SUM(D1517:D1523)+INT(E1517*2/土日度法)</f>
        <v>378</v>
      </c>
      <c r="E1524" s="125">
        <f>MOD(E1523*2,土日度法)</f>
        <v>2163</v>
      </c>
      <c r="F1524" s="126">
        <v>12</v>
      </c>
      <c r="G1524" s="143">
        <f>G1523*2</f>
        <v>29453</v>
      </c>
      <c r="H1524" s="127"/>
      <c r="I1524" s="128"/>
      <c r="K1524"/>
      <c r="L1524"/>
      <c r="M1524"/>
      <c r="Q1524" s="11"/>
      <c r="R1524" s="11"/>
    </row>
    <row r="1525" spans="1:18" s="10" customFormat="1" ht="13.8">
      <c r="A1525" s="86"/>
      <c r="K1525"/>
      <c r="L1525"/>
      <c r="M1525"/>
      <c r="Q1525" s="11"/>
      <c r="R1525" s="11"/>
    </row>
    <row r="1526" spans="1:18" s="10" customFormat="1" ht="13.8">
      <c r="A1526" s="86"/>
      <c r="B1526" s="129"/>
      <c r="C1526" s="130" t="s">
        <v>206</v>
      </c>
      <c r="D1526" s="131" t="s">
        <v>207</v>
      </c>
      <c r="K1526"/>
      <c r="L1526"/>
      <c r="M1526"/>
      <c r="Q1526" s="11"/>
      <c r="R1526" s="11"/>
    </row>
    <row r="1527" spans="1:18" s="10" customFormat="1" ht="13.8">
      <c r="A1527" s="86"/>
      <c r="B1527" s="132" t="s">
        <v>208</v>
      </c>
      <c r="C1527" s="133">
        <f>(D1523*土日度法+E1523)*2</f>
        <v>1384755</v>
      </c>
      <c r="D1527" s="134">
        <f>(F1523*土日度法+G1523)*2</f>
        <v>247757</v>
      </c>
      <c r="K1527"/>
      <c r="L1527"/>
      <c r="M1527"/>
      <c r="Q1527" s="11"/>
      <c r="R1527" s="11"/>
    </row>
    <row r="1528" spans="1:18" s="10" customFormat="1" ht="13.8">
      <c r="A1528" s="86"/>
      <c r="B1528" s="135" t="s">
        <v>209</v>
      </c>
      <c r="C1528" s="136">
        <f>SUM(D1518:D1522)*土日度法</f>
        <v>12370560</v>
      </c>
      <c r="D1528" s="137">
        <f>SUM(F1518:F1522)*土日度法</f>
        <v>218304</v>
      </c>
      <c r="K1528"/>
      <c r="L1528"/>
      <c r="M1528"/>
      <c r="Q1528" s="11"/>
      <c r="R1528" s="11"/>
    </row>
    <row r="1529" spans="1:18" s="10" customFormat="1" ht="13.8">
      <c r="A1529" s="86"/>
      <c r="K1529"/>
      <c r="L1529"/>
      <c r="M1529"/>
      <c r="Q1529" s="11"/>
      <c r="R1529" s="11"/>
    </row>
    <row r="1530" spans="1:18" s="10" customFormat="1" ht="77.400000000000006" customHeight="1">
      <c r="A1530" s="86"/>
      <c r="B1530" s="884" t="s">
        <v>1073</v>
      </c>
      <c r="C1530" s="884"/>
      <c r="D1530" s="884"/>
      <c r="E1530" s="884"/>
      <c r="F1530" s="884"/>
      <c r="G1530" s="884"/>
      <c r="K1530"/>
      <c r="L1530"/>
      <c r="M1530"/>
      <c r="Q1530" s="11"/>
      <c r="R1530" s="11"/>
    </row>
    <row r="1531" spans="1:18" s="10" customFormat="1" ht="13.8">
      <c r="A1531" s="86"/>
      <c r="B1531"/>
      <c r="C1531" s="26"/>
      <c r="D1531" s="26"/>
      <c r="E1531" s="26"/>
      <c r="F1531" s="26"/>
      <c r="G1531" s="26"/>
      <c r="Q1531" s="11"/>
      <c r="R1531" s="11"/>
    </row>
    <row r="1532" spans="1:18" s="10" customFormat="1" ht="78" customHeight="1">
      <c r="A1532" s="86"/>
      <c r="B1532" s="884" t="s">
        <v>1074</v>
      </c>
      <c r="C1532" s="884"/>
      <c r="D1532" s="884"/>
      <c r="E1532" s="884"/>
      <c r="F1532" s="884"/>
      <c r="G1532" s="884"/>
      <c r="Q1532" s="11"/>
      <c r="R1532" s="11"/>
    </row>
    <row r="1533" spans="1:18" s="10" customFormat="1" ht="16.2" thickBot="1">
      <c r="A1533" s="86"/>
      <c r="B1533" s="69"/>
      <c r="Q1533" s="11"/>
      <c r="R1533" s="11"/>
    </row>
    <row r="1534" spans="1:18" s="10" customFormat="1" ht="22.8">
      <c r="A1534" s="45"/>
      <c r="B1534" s="106" t="s">
        <v>187</v>
      </c>
      <c r="C1534" s="107"/>
      <c r="D1534" s="885" t="s">
        <v>192</v>
      </c>
      <c r="E1534" s="885"/>
      <c r="F1534" s="885" t="s">
        <v>193</v>
      </c>
      <c r="G1534" s="885"/>
      <c r="H1534" s="886" t="s">
        <v>111</v>
      </c>
      <c r="I1534" s="886"/>
      <c r="K1534" s="108" t="s">
        <v>194</v>
      </c>
      <c r="L1534" s="108" t="s">
        <v>195</v>
      </c>
      <c r="Q1534" s="11"/>
      <c r="R1534" s="11"/>
    </row>
    <row r="1535" spans="1:18" s="10" customFormat="1" ht="13.8">
      <c r="A1535" s="144">
        <v>1</v>
      </c>
      <c r="B1535" s="145" t="s">
        <v>196</v>
      </c>
      <c r="C1535" s="146"/>
      <c r="D1535" s="147">
        <v>5</v>
      </c>
      <c r="E1535" s="148"/>
      <c r="F1535" s="149">
        <v>-4</v>
      </c>
      <c r="G1535" s="150"/>
      <c r="H1535" s="151">
        <f>F1535</f>
        <v>-4</v>
      </c>
      <c r="I1535" s="152">
        <f>D1535</f>
        <v>5</v>
      </c>
      <c r="K1535" s="138">
        <v>0</v>
      </c>
      <c r="L1535" s="981">
        <v>0</v>
      </c>
      <c r="Q1535" s="11"/>
      <c r="R1535" s="11"/>
    </row>
    <row r="1536" spans="1:18" s="10" customFormat="1" ht="13.8">
      <c r="A1536" s="144">
        <v>2</v>
      </c>
      <c r="B1536" s="153" t="s">
        <v>210</v>
      </c>
      <c r="C1536" s="154"/>
      <c r="D1536" s="155">
        <v>10</v>
      </c>
      <c r="E1536" s="156"/>
      <c r="F1536" s="157">
        <v>-6</v>
      </c>
      <c r="G1536" s="154"/>
      <c r="H1536" s="151">
        <v>-3</v>
      </c>
      <c r="I1536" s="152">
        <v>5</v>
      </c>
      <c r="K1536" s="140">
        <f t="shared" ref="K1536:K1541" si="254">K1535+D1535*金日度法</f>
        <v>116600</v>
      </c>
      <c r="L1536" s="982">
        <f>F1535*金日度法+G1535+L1535</f>
        <v>-93280</v>
      </c>
      <c r="Q1536" s="11"/>
      <c r="R1536" s="11"/>
    </row>
    <row r="1537" spans="1:18" s="10" customFormat="1" ht="13.8">
      <c r="A1537" s="144">
        <v>3</v>
      </c>
      <c r="B1537" s="153" t="s">
        <v>199</v>
      </c>
      <c r="C1537" s="154"/>
      <c r="D1537" s="155">
        <v>8</v>
      </c>
      <c r="E1537" s="156"/>
      <c r="F1537" s="157">
        <v>0</v>
      </c>
      <c r="G1537" s="154"/>
      <c r="H1537" s="151">
        <v>0</v>
      </c>
      <c r="I1537" s="152">
        <v>5</v>
      </c>
      <c r="K1537" s="140">
        <f t="shared" si="254"/>
        <v>349800</v>
      </c>
      <c r="L1537" s="982">
        <f>F1536*金日度法+G1536+L1536</f>
        <v>-233200</v>
      </c>
      <c r="Q1537" s="11"/>
      <c r="R1537" s="11"/>
    </row>
    <row r="1538" spans="1:18" s="10" customFormat="1" ht="13.8">
      <c r="A1538" s="144">
        <v>4</v>
      </c>
      <c r="B1538" s="145" t="s">
        <v>211</v>
      </c>
      <c r="C1538" s="146"/>
      <c r="D1538" s="147">
        <v>46</v>
      </c>
      <c r="E1538" s="158"/>
      <c r="F1538" s="149">
        <v>33</v>
      </c>
      <c r="G1538" s="146"/>
      <c r="H1538" s="151">
        <v>33</v>
      </c>
      <c r="I1538" s="152">
        <f>D1538</f>
        <v>46</v>
      </c>
      <c r="K1538" s="140">
        <f t="shared" si="254"/>
        <v>536360</v>
      </c>
      <c r="L1538" s="982">
        <f>F1537*金日度法+G1537+L1537</f>
        <v>-233200</v>
      </c>
      <c r="Q1538" s="11"/>
      <c r="R1538" s="11"/>
    </row>
    <row r="1539" spans="1:18" s="10" customFormat="1" ht="13.8">
      <c r="A1539" s="144">
        <v>5</v>
      </c>
      <c r="B1539" s="159" t="s">
        <v>212</v>
      </c>
      <c r="C1539" s="89"/>
      <c r="D1539" s="160">
        <v>91</v>
      </c>
      <c r="E1539" s="161"/>
      <c r="F1539" s="162">
        <v>105</v>
      </c>
      <c r="G1539" s="89"/>
      <c r="H1539" s="151">
        <f>F1539</f>
        <v>105</v>
      </c>
      <c r="I1539" s="152">
        <v>91</v>
      </c>
      <c r="K1539" s="140">
        <f t="shared" si="254"/>
        <v>1609080</v>
      </c>
      <c r="L1539" s="982">
        <f>F1538*金日度法+G1538+L1538</f>
        <v>536360</v>
      </c>
      <c r="Q1539" s="11"/>
      <c r="R1539" s="11"/>
    </row>
    <row r="1540" spans="1:18" s="10" customFormat="1" ht="13.8">
      <c r="A1540" s="144">
        <v>6</v>
      </c>
      <c r="B1540" s="159" t="s">
        <v>213</v>
      </c>
      <c r="C1540" s="89"/>
      <c r="D1540" s="160">
        <v>91</v>
      </c>
      <c r="E1540" s="161"/>
      <c r="F1540" s="162">
        <v>113</v>
      </c>
      <c r="G1540" s="89"/>
      <c r="H1540" s="163">
        <f>F1540</f>
        <v>113</v>
      </c>
      <c r="I1540" s="164">
        <v>91</v>
      </c>
      <c r="K1540" s="140">
        <f t="shared" si="254"/>
        <v>3731200</v>
      </c>
      <c r="L1540" s="982">
        <f>F1539*金日度法+G1539+L1539</f>
        <v>2984960</v>
      </c>
      <c r="Q1540" s="11"/>
      <c r="R1540" s="11"/>
    </row>
    <row r="1541" spans="1:18" s="10" customFormat="1" ht="15" customHeight="1">
      <c r="A1541" s="144">
        <v>7</v>
      </c>
      <c r="B1541" s="145" t="s">
        <v>214</v>
      </c>
      <c r="C1541" s="146"/>
      <c r="D1541" s="147">
        <v>41</v>
      </c>
      <c r="E1541" s="165">
        <v>281</v>
      </c>
      <c r="F1541" s="149">
        <v>50</v>
      </c>
      <c r="G1541" s="165">
        <v>281</v>
      </c>
      <c r="H1541" s="163">
        <f>G1541+F1541*金日度法</f>
        <v>1166281</v>
      </c>
      <c r="I1541" s="166">
        <f>E1541+D1541*金日度法</f>
        <v>956401</v>
      </c>
      <c r="K1541" s="140">
        <f t="shared" si="254"/>
        <v>5853320</v>
      </c>
      <c r="L1541" s="983">
        <f>F1540*金日度法+G1540+L1540</f>
        <v>5620120</v>
      </c>
      <c r="Q1541" s="11"/>
      <c r="R1541" s="11"/>
    </row>
    <row r="1542" spans="1:18" s="10" customFormat="1" ht="13.8">
      <c r="A1542" s="144">
        <v>8</v>
      </c>
      <c r="B1542" s="167" t="s">
        <v>215</v>
      </c>
      <c r="C1542" s="168"/>
      <c r="D1542" s="169">
        <f>D1541</f>
        <v>41</v>
      </c>
      <c r="E1542" s="170">
        <f>E1541</f>
        <v>281</v>
      </c>
      <c r="F1542" s="171">
        <f>F1541</f>
        <v>50</v>
      </c>
      <c r="G1542" s="170">
        <f>G1541</f>
        <v>281</v>
      </c>
      <c r="H1542" s="172">
        <f>G1542+F1542*金日度法</f>
        <v>1166281</v>
      </c>
      <c r="I1542" s="173">
        <f>E1542+D1542*金日度法</f>
        <v>956401</v>
      </c>
      <c r="K1542" s="138">
        <v>0</v>
      </c>
      <c r="L1542" s="982">
        <f>F1541*金日度法+G1541+L1541</f>
        <v>6786401</v>
      </c>
      <c r="Q1542" s="11"/>
      <c r="R1542" s="11"/>
    </row>
    <row r="1543" spans="1:18" s="10" customFormat="1" ht="13.8">
      <c r="A1543" s="144">
        <v>9</v>
      </c>
      <c r="B1543" s="174" t="s">
        <v>216</v>
      </c>
      <c r="C1543" s="175"/>
      <c r="D1543" s="176">
        <v>91</v>
      </c>
      <c r="E1543" s="175"/>
      <c r="F1543" s="177">
        <f>F1540</f>
        <v>113</v>
      </c>
      <c r="G1543" s="178"/>
      <c r="H1543" s="172">
        <v>113</v>
      </c>
      <c r="I1543" s="173">
        <v>91</v>
      </c>
      <c r="K1543" s="140">
        <f>K1542+D1542*金日度法+E1542</f>
        <v>956401</v>
      </c>
      <c r="L1543" s="982">
        <f>F1542*金日度法+G1542+L1542</f>
        <v>7952682</v>
      </c>
      <c r="Q1543" s="11"/>
      <c r="R1543" s="11"/>
    </row>
    <row r="1544" spans="1:18" s="10" customFormat="1" ht="13.8">
      <c r="A1544" s="144">
        <v>10</v>
      </c>
      <c r="B1544" s="174" t="s">
        <v>217</v>
      </c>
      <c r="C1544" s="175"/>
      <c r="D1544" s="176">
        <v>91</v>
      </c>
      <c r="E1544" s="175"/>
      <c r="F1544" s="177">
        <f>F1539</f>
        <v>105</v>
      </c>
      <c r="G1544" s="178"/>
      <c r="H1544" s="172">
        <v>106</v>
      </c>
      <c r="I1544" s="173">
        <v>91</v>
      </c>
      <c r="K1544" s="140">
        <f>K1543+D1543*金日度法</f>
        <v>3078521</v>
      </c>
      <c r="L1544" s="982">
        <f>F1543*金日度法+G1543+L1543</f>
        <v>10587842</v>
      </c>
      <c r="Q1544" s="11"/>
      <c r="R1544" s="11"/>
    </row>
    <row r="1545" spans="1:18" s="10" customFormat="1" ht="13.8">
      <c r="A1545" s="144">
        <v>11</v>
      </c>
      <c r="B1545" s="179" t="s">
        <v>218</v>
      </c>
      <c r="C1545" s="180"/>
      <c r="D1545" s="181">
        <f>D1538</f>
        <v>46</v>
      </c>
      <c r="E1545" s="180"/>
      <c r="F1545" s="182">
        <v>33</v>
      </c>
      <c r="G1545" s="168"/>
      <c r="H1545" s="172">
        <v>33</v>
      </c>
      <c r="I1545" s="173">
        <v>46</v>
      </c>
      <c r="K1545" s="140">
        <f>K1544+D1544*金日度法</f>
        <v>5200641</v>
      </c>
      <c r="L1545" s="982">
        <f>F1544*金日度法+G1544+L1544</f>
        <v>13036442</v>
      </c>
      <c r="Q1545" s="11"/>
      <c r="R1545" s="11"/>
    </row>
    <row r="1546" spans="1:18" s="10" customFormat="1" ht="13.8">
      <c r="A1546" s="144">
        <v>12</v>
      </c>
      <c r="B1546" s="183" t="s">
        <v>199</v>
      </c>
      <c r="C1546" s="184"/>
      <c r="D1546" s="185">
        <f>D1537</f>
        <v>8</v>
      </c>
      <c r="E1546" s="184"/>
      <c r="F1546" s="186">
        <v>0</v>
      </c>
      <c r="G1546" s="187"/>
      <c r="H1546" s="172">
        <v>0</v>
      </c>
      <c r="I1546" s="173">
        <v>46</v>
      </c>
      <c r="K1546" s="140">
        <f>K1545+D1545*金日度法</f>
        <v>6273361</v>
      </c>
      <c r="L1546" s="982">
        <f>F1545*金日度法+G1545+L1545</f>
        <v>13806002</v>
      </c>
      <c r="Q1546" s="11"/>
      <c r="R1546" s="11"/>
    </row>
    <row r="1547" spans="1:18" s="10" customFormat="1" ht="13.8">
      <c r="A1547" s="144">
        <v>13</v>
      </c>
      <c r="B1547" s="183" t="s">
        <v>200</v>
      </c>
      <c r="C1547" s="184"/>
      <c r="D1547" s="185">
        <v>10</v>
      </c>
      <c r="E1547" s="184"/>
      <c r="F1547" s="186">
        <v>-6</v>
      </c>
      <c r="G1547" s="187"/>
      <c r="H1547" s="188">
        <v>-3</v>
      </c>
      <c r="I1547" s="189">
        <v>5</v>
      </c>
      <c r="K1547" s="140">
        <f>K1546+D1546*金日度法</f>
        <v>6459921</v>
      </c>
      <c r="L1547" s="982">
        <f>F1546*金日度法+G1546+L1546</f>
        <v>13806002</v>
      </c>
      <c r="Q1547" s="11"/>
      <c r="R1547" s="11"/>
    </row>
    <row r="1548" spans="1:18" s="10" customFormat="1" ht="13.8">
      <c r="A1548" s="144">
        <v>14</v>
      </c>
      <c r="B1548" s="167" t="s">
        <v>214</v>
      </c>
      <c r="C1548" s="180"/>
      <c r="D1548" s="181">
        <f>D1535</f>
        <v>5</v>
      </c>
      <c r="E1548" s="190"/>
      <c r="F1548" s="182">
        <v>-4</v>
      </c>
      <c r="G1548" s="191"/>
      <c r="H1548" s="188">
        <f>F1548</f>
        <v>-4</v>
      </c>
      <c r="I1548" s="189">
        <f>D1548</f>
        <v>5</v>
      </c>
      <c r="K1548" s="142">
        <f>K1547+D1547*金日度法</f>
        <v>6693121</v>
      </c>
      <c r="L1548" s="983">
        <f>F1547*金日度法+G1547+L1547</f>
        <v>13666082</v>
      </c>
      <c r="Q1548" s="11"/>
      <c r="R1548" s="11"/>
    </row>
    <row r="1549" spans="1:18" s="10" customFormat="1" ht="14.4" thickBot="1">
      <c r="A1549"/>
      <c r="B1549" s="192" t="s">
        <v>205</v>
      </c>
      <c r="C1549" s="193"/>
      <c r="D1549" s="194">
        <v>584</v>
      </c>
      <c r="E1549" s="195">
        <f>E1542*2</f>
        <v>562</v>
      </c>
      <c r="F1549" s="196"/>
      <c r="G1549" s="197"/>
      <c r="H1549" s="198"/>
      <c r="I1549" s="199"/>
      <c r="Q1549" s="11"/>
      <c r="R1549" s="11"/>
    </row>
    <row r="1550" spans="1:18" s="10" customFormat="1" ht="15.6">
      <c r="A1550" s="86"/>
      <c r="B1550" s="69"/>
      <c r="Q1550" s="11"/>
      <c r="R1550" s="11"/>
    </row>
    <row r="1551" spans="1:18" s="10" customFormat="1" ht="13.8">
      <c r="A1551" s="86"/>
      <c r="B1551" s="129"/>
      <c r="C1551" s="130" t="s">
        <v>206</v>
      </c>
      <c r="D1551" s="131" t="s">
        <v>207</v>
      </c>
      <c r="Q1551" s="11"/>
      <c r="R1551" s="11"/>
    </row>
    <row r="1552" spans="1:18" s="10" customFormat="1" ht="13.8">
      <c r="A1552" s="86"/>
      <c r="B1552" s="132" t="s">
        <v>208</v>
      </c>
      <c r="C1552" s="133">
        <f>D1535*金日度法*2</f>
        <v>233200</v>
      </c>
      <c r="D1552" s="134">
        <f>F1535*金日度法*2</f>
        <v>-186560</v>
      </c>
      <c r="Q1552" s="11"/>
      <c r="R1552" s="11"/>
    </row>
    <row r="1553" spans="1:18" s="10" customFormat="1" ht="13.8">
      <c r="A1553" s="86"/>
      <c r="B1553" s="135" t="s">
        <v>209</v>
      </c>
      <c r="C1553" s="136">
        <f>SUM(D1543:D1547)*金日度法</f>
        <v>5736720</v>
      </c>
      <c r="D1553" s="137">
        <f>SUM(F1543:F1547)*金日度法</f>
        <v>5713400</v>
      </c>
      <c r="Q1553" s="11"/>
      <c r="R1553" s="11"/>
    </row>
    <row r="1554" spans="1:18" s="10" customFormat="1" ht="13.8">
      <c r="A1554" s="86"/>
      <c r="B1554" s="200" t="s">
        <v>208</v>
      </c>
      <c r="C1554" s="201">
        <f>(D1542*金日度法+E1542)*2</f>
        <v>1912802</v>
      </c>
      <c r="D1554" s="202">
        <f>(F1542*金日度法+G1542)*2</f>
        <v>2332562</v>
      </c>
      <c r="Q1554" s="11"/>
      <c r="R1554" s="11"/>
    </row>
    <row r="1555" spans="1:18" s="10" customFormat="1" ht="13.8">
      <c r="A1555" s="86"/>
      <c r="B1555"/>
      <c r="C1555"/>
      <c r="D1555"/>
      <c r="Q1555" s="11"/>
      <c r="R1555" s="11"/>
    </row>
    <row r="1556" spans="1:18" s="10" customFormat="1" ht="66.599999999999994" customHeight="1">
      <c r="A1556" s="86"/>
      <c r="B1556" s="887" t="s">
        <v>219</v>
      </c>
      <c r="C1556" s="887"/>
      <c r="D1556" s="887"/>
      <c r="E1556" s="887"/>
      <c r="F1556" s="887"/>
      <c r="G1556" s="887"/>
      <c r="Q1556" s="11"/>
      <c r="R1556" s="11"/>
    </row>
    <row r="1557" spans="1:18" s="10" customFormat="1" ht="13.8">
      <c r="A1557" s="86"/>
      <c r="B1557"/>
      <c r="C1557" s="26"/>
      <c r="D1557" s="26"/>
      <c r="E1557" s="26"/>
      <c r="F1557" s="26"/>
      <c r="G1557" s="26"/>
      <c r="Q1557" s="11"/>
      <c r="R1557" s="11"/>
    </row>
    <row r="1558" spans="1:18" s="10" customFormat="1" ht="64.8" customHeight="1">
      <c r="A1558" s="86"/>
      <c r="B1558" s="887" t="s">
        <v>1075</v>
      </c>
      <c r="C1558" s="887"/>
      <c r="D1558" s="887"/>
      <c r="E1558" s="887"/>
      <c r="F1558" s="887"/>
      <c r="G1558" s="887"/>
      <c r="Q1558" s="11"/>
      <c r="R1558" s="11"/>
    </row>
    <row r="1559" spans="1:18" s="10" customFormat="1" ht="14.4" thickBot="1">
      <c r="A1559" s="86"/>
      <c r="B1559" s="4"/>
      <c r="Q1559" s="11"/>
      <c r="R1559" s="11"/>
    </row>
    <row r="1560" spans="1:18" s="10" customFormat="1" ht="22.8">
      <c r="A1560" s="45"/>
      <c r="B1560" s="106" t="s">
        <v>188</v>
      </c>
      <c r="C1560" s="107"/>
      <c r="D1560" s="885" t="s">
        <v>192</v>
      </c>
      <c r="E1560" s="885"/>
      <c r="F1560" s="885" t="s">
        <v>193</v>
      </c>
      <c r="G1560" s="885"/>
      <c r="H1560" s="886" t="s">
        <v>111</v>
      </c>
      <c r="I1560" s="886"/>
      <c r="K1560" s="108" t="s">
        <v>194</v>
      </c>
      <c r="L1560" s="108" t="s">
        <v>195</v>
      </c>
      <c r="Q1560" s="11"/>
      <c r="R1560" s="11"/>
    </row>
    <row r="1561" spans="1:18" s="10" customFormat="1" ht="13.8">
      <c r="A1561" s="144">
        <v>1</v>
      </c>
      <c r="B1561" s="145" t="s">
        <v>196</v>
      </c>
      <c r="C1561" s="146"/>
      <c r="D1561" s="147">
        <v>9</v>
      </c>
      <c r="E1561" s="148"/>
      <c r="F1561" s="149">
        <v>-7</v>
      </c>
      <c r="G1561" s="150"/>
      <c r="H1561" s="151">
        <f>F1561</f>
        <v>-7</v>
      </c>
      <c r="I1561" s="152">
        <f>D1561</f>
        <v>9</v>
      </c>
      <c r="K1561" s="138">
        <v>0</v>
      </c>
      <c r="L1561" s="981">
        <v>0</v>
      </c>
      <c r="Q1561" s="11"/>
      <c r="R1561" s="11"/>
    </row>
    <row r="1562" spans="1:18" s="10" customFormat="1" ht="13.8">
      <c r="A1562" s="144">
        <v>2</v>
      </c>
      <c r="B1562" s="153" t="s">
        <v>210</v>
      </c>
      <c r="C1562" s="154"/>
      <c r="D1562" s="155">
        <v>1</v>
      </c>
      <c r="E1562" s="156"/>
      <c r="F1562" s="157">
        <v>-1</v>
      </c>
      <c r="G1562" s="154"/>
      <c r="H1562" s="151">
        <v>-1</v>
      </c>
      <c r="I1562" s="152">
        <v>1</v>
      </c>
      <c r="K1562" s="140">
        <f>K1561+D1561*水日度法</f>
        <v>428688</v>
      </c>
      <c r="L1562" s="982">
        <f>L1561+F1561*水日度法+G1561</f>
        <v>-333424</v>
      </c>
      <c r="Q1562" s="11"/>
      <c r="R1562" s="11"/>
    </row>
    <row r="1563" spans="1:18" s="10" customFormat="1" ht="13.8">
      <c r="A1563" s="144">
        <v>3</v>
      </c>
      <c r="B1563" s="153" t="s">
        <v>220</v>
      </c>
      <c r="C1563" s="154"/>
      <c r="D1563" s="155">
        <v>2</v>
      </c>
      <c r="E1563" s="156"/>
      <c r="F1563" s="157">
        <v>0</v>
      </c>
      <c r="G1563" s="154"/>
      <c r="H1563" s="151">
        <v>0</v>
      </c>
      <c r="I1563" s="152">
        <v>1</v>
      </c>
      <c r="K1563" s="140">
        <f>K1562+D1562*水日度法</f>
        <v>476320</v>
      </c>
      <c r="L1563" s="982">
        <f>L1562+F1562*水日度法+G1562</f>
        <v>-381056</v>
      </c>
      <c r="Q1563" s="11"/>
      <c r="R1563" s="11"/>
    </row>
    <row r="1564" spans="1:18" s="10" customFormat="1" ht="13.8">
      <c r="A1564" s="144">
        <v>4</v>
      </c>
      <c r="B1564" s="145" t="s">
        <v>221</v>
      </c>
      <c r="C1564" s="146"/>
      <c r="D1564" s="147">
        <v>9</v>
      </c>
      <c r="E1564" s="158"/>
      <c r="F1564" s="149">
        <v>8</v>
      </c>
      <c r="G1564" s="146"/>
      <c r="H1564" s="151">
        <f>F1564</f>
        <v>8</v>
      </c>
      <c r="I1564" s="152">
        <f>D1564</f>
        <v>9</v>
      </c>
      <c r="K1564" s="140">
        <f>K1563+D1563*水日度法</f>
        <v>571584</v>
      </c>
      <c r="L1564" s="982">
        <f>L1563+F1563*水日度法+G1563</f>
        <v>-381056</v>
      </c>
      <c r="Q1564" s="11"/>
      <c r="R1564" s="11"/>
    </row>
    <row r="1565" spans="1:18" s="10" customFormat="1" ht="13.8">
      <c r="A1565" s="144">
        <v>5</v>
      </c>
      <c r="B1565" s="159" t="s">
        <v>222</v>
      </c>
      <c r="C1565" s="89"/>
      <c r="D1565" s="160">
        <v>20</v>
      </c>
      <c r="E1565" s="161"/>
      <c r="F1565" s="162">
        <v>25</v>
      </c>
      <c r="G1565" s="89"/>
      <c r="H1565" s="163">
        <v>5</v>
      </c>
      <c r="I1565" s="164">
        <v>4</v>
      </c>
      <c r="K1565" s="140">
        <f>K1564+D1564*水日度法</f>
        <v>1000272</v>
      </c>
      <c r="L1565" s="982">
        <f>L1564+F1564*水日度法+G1564</f>
        <v>0</v>
      </c>
      <c r="Q1565" s="11"/>
      <c r="R1565" s="11"/>
    </row>
    <row r="1566" spans="1:18" s="10" customFormat="1" ht="13.8">
      <c r="A1566" s="144">
        <v>6</v>
      </c>
      <c r="B1566" s="145" t="s">
        <v>214</v>
      </c>
      <c r="C1566" s="146"/>
      <c r="D1566" s="147">
        <v>16</v>
      </c>
      <c r="E1566" s="165">
        <v>44805</v>
      </c>
      <c r="F1566" s="149">
        <v>32</v>
      </c>
      <c r="G1566" s="165">
        <f>E1566</f>
        <v>44805</v>
      </c>
      <c r="H1566" s="163">
        <f>G1566+F1566*水日度法</f>
        <v>1569029</v>
      </c>
      <c r="I1566" s="164">
        <f>E1566+D1566*金日度法</f>
        <v>417925</v>
      </c>
      <c r="K1566" s="140">
        <f>K1565+D1565*水日度法</f>
        <v>1952912</v>
      </c>
      <c r="L1566" s="983">
        <f>L1565+F1565*水日度法+G1565</f>
        <v>1190800</v>
      </c>
      <c r="Q1566" s="11"/>
      <c r="R1566" s="11"/>
    </row>
    <row r="1567" spans="1:18" s="10" customFormat="1" ht="13.8">
      <c r="A1567" s="144">
        <v>7</v>
      </c>
      <c r="B1567" s="167" t="s">
        <v>215</v>
      </c>
      <c r="C1567" s="180"/>
      <c r="D1567" s="181">
        <f>D1566</f>
        <v>16</v>
      </c>
      <c r="E1567" s="170">
        <f>E1566</f>
        <v>44805</v>
      </c>
      <c r="F1567" s="171">
        <f>F1566</f>
        <v>32</v>
      </c>
      <c r="G1567" s="170">
        <f>G1566</f>
        <v>44805</v>
      </c>
      <c r="H1567" s="172">
        <f>G1567+F1567*水日度法</f>
        <v>1569029</v>
      </c>
      <c r="I1567" s="173">
        <f>E1567+D1567*金日度法</f>
        <v>417925</v>
      </c>
      <c r="K1567" s="138">
        <v>0</v>
      </c>
      <c r="L1567" s="982">
        <f>L1566+F1566*水日度法+G1566</f>
        <v>2759829</v>
      </c>
      <c r="Q1567" s="11"/>
      <c r="R1567" s="11"/>
    </row>
    <row r="1568" spans="1:18" s="10" customFormat="1" ht="13.8">
      <c r="A1568" s="144">
        <v>8</v>
      </c>
      <c r="B1568" s="174" t="s">
        <v>216</v>
      </c>
      <c r="C1568" s="175"/>
      <c r="D1568" s="181">
        <f>D1565</f>
        <v>20</v>
      </c>
      <c r="E1568" s="168"/>
      <c r="F1568" s="171">
        <f>F1565</f>
        <v>25</v>
      </c>
      <c r="G1568" s="180"/>
      <c r="H1568" s="172">
        <v>5</v>
      </c>
      <c r="I1568" s="173">
        <v>4</v>
      </c>
      <c r="K1568" s="140">
        <f>K1567+D1567*水日度法+E1567</f>
        <v>806917</v>
      </c>
      <c r="L1568" s="982">
        <f>L1567+F1567*水日度法+G1567</f>
        <v>4328858</v>
      </c>
      <c r="Q1568" s="11"/>
      <c r="R1568" s="11"/>
    </row>
    <row r="1569" spans="1:18" s="10" customFormat="1" ht="13.8">
      <c r="A1569" s="144">
        <v>9</v>
      </c>
      <c r="B1569" s="179" t="s">
        <v>223</v>
      </c>
      <c r="C1569" s="180"/>
      <c r="D1569" s="181">
        <f>D1564</f>
        <v>9</v>
      </c>
      <c r="E1569" s="168"/>
      <c r="F1569" s="171">
        <f>F1564</f>
        <v>8</v>
      </c>
      <c r="G1569" s="175"/>
      <c r="H1569" s="172">
        <f>F1569</f>
        <v>8</v>
      </c>
      <c r="I1569" s="173">
        <f>D1569</f>
        <v>9</v>
      </c>
      <c r="K1569" s="140">
        <f>K1568+D1568*水日度法</f>
        <v>1759557</v>
      </c>
      <c r="L1569" s="982">
        <f>L1568+F1568*水日度法+G1568</f>
        <v>5519658</v>
      </c>
      <c r="Q1569" s="11"/>
      <c r="R1569" s="11"/>
    </row>
    <row r="1570" spans="1:18" s="10" customFormat="1" ht="13.8">
      <c r="A1570" s="144">
        <v>10</v>
      </c>
      <c r="B1570" s="183" t="s">
        <v>199</v>
      </c>
      <c r="C1570" s="184"/>
      <c r="D1570" s="181">
        <f>D1563</f>
        <v>2</v>
      </c>
      <c r="E1570" s="168"/>
      <c r="F1570" s="203">
        <v>0</v>
      </c>
      <c r="G1570" s="175"/>
      <c r="H1570" s="172">
        <v>0</v>
      </c>
      <c r="I1570" s="173">
        <v>9</v>
      </c>
      <c r="K1570" s="140">
        <f>K1569+D1569*水日度法</f>
        <v>2188245</v>
      </c>
      <c r="L1570" s="982">
        <f>L1569+F1569*水日度法+G1569</f>
        <v>5900714</v>
      </c>
      <c r="Q1570" s="11"/>
      <c r="R1570" s="11"/>
    </row>
    <row r="1571" spans="1:18" s="10" customFormat="1" ht="13.8">
      <c r="A1571" s="144">
        <v>11</v>
      </c>
      <c r="B1571" s="183" t="s">
        <v>200</v>
      </c>
      <c r="C1571" s="184"/>
      <c r="D1571" s="181">
        <v>1</v>
      </c>
      <c r="E1571" s="168"/>
      <c r="F1571" s="171">
        <v>-1</v>
      </c>
      <c r="G1571" s="180"/>
      <c r="H1571" s="188">
        <v>-1</v>
      </c>
      <c r="I1571" s="189">
        <v>1</v>
      </c>
      <c r="K1571" s="140">
        <f>K1570+D1570*水日度法</f>
        <v>2283509</v>
      </c>
      <c r="L1571" s="982">
        <f>L1570+F1570*水日度法+G1570</f>
        <v>5900714</v>
      </c>
      <c r="Q1571" s="11"/>
      <c r="R1571" s="11"/>
    </row>
    <row r="1572" spans="1:18" s="10" customFormat="1" ht="13.8">
      <c r="A1572" s="144">
        <v>12</v>
      </c>
      <c r="B1572" s="167" t="s">
        <v>214</v>
      </c>
      <c r="C1572" s="180"/>
      <c r="D1572" s="181">
        <f>D1561</f>
        <v>9</v>
      </c>
      <c r="E1572" s="190"/>
      <c r="F1572" s="171">
        <v>-7</v>
      </c>
      <c r="G1572" s="191"/>
      <c r="H1572" s="188">
        <f>F1572</f>
        <v>-7</v>
      </c>
      <c r="I1572" s="189">
        <f>D1572</f>
        <v>9</v>
      </c>
      <c r="K1572" s="142">
        <f>K1571+D1571*水日度法</f>
        <v>2331141</v>
      </c>
      <c r="L1572" s="983">
        <f>L1571+F1571*水日度法+G1571</f>
        <v>5853082</v>
      </c>
      <c r="Q1572" s="11"/>
      <c r="R1572" s="11"/>
    </row>
    <row r="1573" spans="1:18" s="10" customFormat="1" ht="14.4" thickBot="1">
      <c r="A1573"/>
      <c r="B1573" s="192" t="s">
        <v>205</v>
      </c>
      <c r="C1573" s="193"/>
      <c r="D1573" s="194">
        <v>115</v>
      </c>
      <c r="E1573" s="195">
        <f>MOD(E1567*2,水日度法)</f>
        <v>41978</v>
      </c>
      <c r="F1573" s="196"/>
      <c r="G1573" s="197"/>
      <c r="H1573" s="198"/>
      <c r="I1573" s="199"/>
      <c r="K1573"/>
      <c r="L1573"/>
      <c r="Q1573" s="11"/>
      <c r="R1573" s="11"/>
    </row>
    <row r="1574" spans="1:18" s="10" customFormat="1" ht="13.8">
      <c r="A1574"/>
      <c r="B1574"/>
      <c r="C1574"/>
      <c r="D1574"/>
      <c r="E1574"/>
      <c r="F1574"/>
      <c r="G1574"/>
      <c r="H1574"/>
      <c r="I1574"/>
      <c r="J1574"/>
      <c r="K1574"/>
      <c r="L1574"/>
      <c r="Q1574" s="11"/>
      <c r="R1574" s="11"/>
    </row>
    <row r="1575" spans="1:18" s="10" customFormat="1" ht="13.8">
      <c r="A1575"/>
      <c r="B1575" s="129"/>
      <c r="C1575" s="130" t="s">
        <v>206</v>
      </c>
      <c r="D1575" s="131" t="s">
        <v>207</v>
      </c>
      <c r="E1575"/>
      <c r="F1575"/>
      <c r="G1575"/>
      <c r="H1575"/>
      <c r="I1575"/>
      <c r="J1575"/>
      <c r="K1575"/>
      <c r="L1575"/>
      <c r="Q1575" s="11"/>
      <c r="R1575" s="11"/>
    </row>
    <row r="1576" spans="1:18" s="10" customFormat="1" ht="13.8">
      <c r="A1576"/>
      <c r="B1576" s="132" t="s">
        <v>208</v>
      </c>
      <c r="C1576" s="133">
        <f>D1561*水日度法*2</f>
        <v>857376</v>
      </c>
      <c r="D1576" s="134">
        <f>F1561*水日度法*2</f>
        <v>-666848</v>
      </c>
      <c r="E1576"/>
      <c r="F1576"/>
      <c r="G1576"/>
      <c r="H1576"/>
      <c r="I1576"/>
      <c r="J1576"/>
      <c r="K1576"/>
      <c r="L1576"/>
      <c r="Q1576" s="11"/>
      <c r="R1576" s="11"/>
    </row>
    <row r="1577" spans="1:18" s="10" customFormat="1" ht="13.8">
      <c r="A1577"/>
      <c r="B1577" s="135" t="s">
        <v>209</v>
      </c>
      <c r="C1577" s="136">
        <f>SUM(D1568:D1571)*水日度法</f>
        <v>1524224</v>
      </c>
      <c r="D1577" s="137">
        <f>SUM(F1568:F1571)*水日度法</f>
        <v>1524224</v>
      </c>
      <c r="E1577"/>
      <c r="F1577"/>
      <c r="G1577"/>
      <c r="H1577"/>
      <c r="I1577"/>
      <c r="J1577"/>
      <c r="K1577"/>
      <c r="L1577"/>
      <c r="Q1577" s="11"/>
      <c r="R1577" s="11"/>
    </row>
    <row r="1578" spans="1:18" s="10" customFormat="1" ht="13.8">
      <c r="A1578"/>
      <c r="B1578" s="200" t="s">
        <v>208</v>
      </c>
      <c r="C1578" s="201">
        <f>(D1566*水日度法+E1566)*2</f>
        <v>1613834</v>
      </c>
      <c r="D1578" s="202">
        <f>(F1566*水日度法+G1566)*2</f>
        <v>3138058</v>
      </c>
      <c r="E1578"/>
      <c r="F1578"/>
      <c r="G1578"/>
      <c r="H1578"/>
      <c r="I1578"/>
      <c r="J1578"/>
      <c r="K1578"/>
      <c r="L1578"/>
      <c r="Q1578" s="11"/>
      <c r="R1578" s="11"/>
    </row>
    <row r="1579" spans="1:18" ht="13.8" thickBot="1"/>
    <row r="1580" spans="1:18" s="3" customFormat="1" ht="26.4" thickTop="1" thickBot="1">
      <c r="A1580" s="2" t="s">
        <v>224</v>
      </c>
      <c r="B1580" s="3" t="s">
        <v>225</v>
      </c>
    </row>
    <row r="1581" spans="1:18" ht="13.8" thickTop="1"/>
    <row r="1582" spans="1:18" ht="14.4" customHeight="1">
      <c r="B1582" s="871" t="s">
        <v>1099</v>
      </c>
      <c r="C1582" s="871"/>
      <c r="D1582" s="871"/>
      <c r="E1582" s="871"/>
      <c r="F1582" s="871"/>
      <c r="G1582" s="871"/>
      <c r="H1582" s="872"/>
      <c r="I1582" s="832"/>
      <c r="J1582" s="839"/>
      <c r="K1582" s="782"/>
      <c r="L1582" s="781"/>
      <c r="M1582" s="782"/>
      <c r="N1582" s="781"/>
      <c r="O1582" s="782"/>
      <c r="P1582" s="781"/>
      <c r="Q1582" s="782"/>
      <c r="R1582" s="781"/>
    </row>
    <row r="1583" spans="1:18">
      <c r="B1583" s="865"/>
      <c r="C1583" s="865"/>
      <c r="D1583" s="865"/>
      <c r="E1583" s="865"/>
      <c r="F1583" s="865"/>
      <c r="G1583" s="865"/>
      <c r="H1583" s="865"/>
      <c r="I1583" s="832"/>
      <c r="J1583" s="839"/>
      <c r="K1583" s="782"/>
      <c r="L1583" s="781"/>
      <c r="M1583" s="782"/>
      <c r="N1583" s="781"/>
      <c r="O1583" s="782"/>
      <c r="P1583" s="781"/>
      <c r="Q1583" s="782"/>
      <c r="R1583" s="781"/>
    </row>
    <row r="1584" spans="1:18" ht="13.8" thickBot="1">
      <c r="B1584" s="856" t="s">
        <v>807</v>
      </c>
      <c r="C1584" s="856" t="s">
        <v>676</v>
      </c>
      <c r="D1584" s="856" t="s">
        <v>678</v>
      </c>
      <c r="E1584" s="856" t="s">
        <v>677</v>
      </c>
      <c r="F1584" s="950" t="s">
        <v>1101</v>
      </c>
      <c r="G1584" s="950"/>
      <c r="H1584" s="766" t="s">
        <v>1103</v>
      </c>
      <c r="I1584" s="832"/>
      <c r="J1584" s="839"/>
      <c r="K1584" s="782"/>
      <c r="L1584" s="781"/>
      <c r="M1584" s="782"/>
      <c r="N1584" s="781"/>
      <c r="O1584" s="782"/>
      <c r="P1584" s="781"/>
      <c r="Q1584" s="782"/>
      <c r="R1584" s="781"/>
    </row>
    <row r="1585" spans="1:19" ht="13.8" thickBot="1">
      <c r="B1585" s="949" t="s">
        <v>1100</v>
      </c>
      <c r="C1585" s="550" t="s">
        <v>67</v>
      </c>
      <c r="D1585" s="551" t="str">
        <f>INDEX($I$239:$I$253,INDEX($C$347:$C$403,MATCH(C1585,$E$347:$E$403,0)))</f>
        <v>小</v>
      </c>
      <c r="E1585" s="552">
        <v>7</v>
      </c>
      <c r="F1585" s="551" t="str">
        <f t="shared" ref="F1585" si="255">CONCATENATE(CHOOSE(MOD(G1585,10)+1,"癸","甲","乙","丙","丁","戊","己","庚","辛","壬"),(CHOOSE(MOD(G1585,12)+1,"亥","子","丑","寅","卯","辰","巳","午","未","申","酉","戌")))</f>
        <v>壬午</v>
      </c>
      <c r="G1585" s="553">
        <f>MOD(INDEX($I$791:$I$805,MATCH(C1585,$C$791:$C$805,0))+E1585-2,60)+1</f>
        <v>19</v>
      </c>
      <c r="H1585" s="552">
        <v>35</v>
      </c>
      <c r="I1585" s="832"/>
      <c r="J1585" s="839"/>
      <c r="K1585" s="782"/>
      <c r="L1585" s="781"/>
      <c r="M1585" s="782"/>
      <c r="N1585" s="781"/>
      <c r="O1585" s="782"/>
      <c r="P1585" s="781"/>
      <c r="Q1585" s="782"/>
      <c r="R1585" s="781"/>
    </row>
    <row r="1586" spans="1:19">
      <c r="B1586" s="865"/>
      <c r="C1586" s="865"/>
      <c r="D1586" s="865"/>
      <c r="E1586" s="865"/>
      <c r="F1586" s="865"/>
      <c r="G1586" s="865"/>
      <c r="H1586" s="865"/>
      <c r="I1586" s="832"/>
      <c r="J1586" s="839"/>
      <c r="K1586" s="782"/>
      <c r="L1586" s="781"/>
      <c r="M1586" s="782"/>
      <c r="N1586" s="781"/>
      <c r="O1586" s="782"/>
      <c r="P1586" s="781"/>
      <c r="Q1586" s="782"/>
      <c r="R1586" s="781"/>
    </row>
    <row r="1587" spans="1:19" s="716" customFormat="1" ht="12.6" customHeight="1">
      <c r="A1587" s="715"/>
      <c r="B1587" s="766" t="s">
        <v>1105</v>
      </c>
      <c r="C1587" s="766"/>
      <c r="D1587" s="766"/>
      <c r="E1587" s="766"/>
      <c r="F1587" s="766"/>
      <c r="G1587" s="766"/>
      <c r="H1587" s="766"/>
      <c r="I1587" s="832"/>
      <c r="J1587" s="839"/>
      <c r="K1587" s="782"/>
      <c r="L1587" s="781"/>
      <c r="M1587" s="782"/>
      <c r="N1587" s="781"/>
      <c r="O1587" s="782"/>
      <c r="P1587" s="781"/>
      <c r="Q1587" s="782"/>
      <c r="R1587" s="781"/>
      <c r="S1587" s="720"/>
    </row>
    <row r="1588" spans="1:19" s="716" customFormat="1" ht="12.6" customHeight="1">
      <c r="A1588" s="715"/>
      <c r="B1588" s="766"/>
      <c r="C1588" s="766"/>
      <c r="D1588" s="766"/>
      <c r="E1588" s="766"/>
      <c r="F1588" s="766"/>
      <c r="G1588" s="766"/>
      <c r="H1588" s="766"/>
      <c r="I1588" s="832"/>
      <c r="J1588" s="839"/>
      <c r="K1588" s="782"/>
      <c r="L1588" s="781"/>
      <c r="M1588" s="782"/>
      <c r="N1588" s="781"/>
      <c r="O1588" s="782"/>
      <c r="P1588" s="781"/>
      <c r="Q1588" s="782"/>
      <c r="R1588" s="781"/>
      <c r="S1588" s="720"/>
    </row>
    <row r="1589" spans="1:19" s="716" customFormat="1" ht="12.6" customHeight="1">
      <c r="A1589" s="715"/>
      <c r="B1589" s="766"/>
      <c r="C1589" s="766" t="s">
        <v>1106</v>
      </c>
      <c r="D1589" s="958">
        <f>INDEX($K$239:$K$253,INDEX($C$347:$C$403,MATCH(C1585,$E$347:$E$403,0)))+E1585-1</f>
        <v>106878</v>
      </c>
      <c r="E1589" s="766"/>
      <c r="F1589" s="766"/>
      <c r="G1589" s="766"/>
      <c r="H1589" s="766"/>
      <c r="I1589" s="832"/>
      <c r="J1589" s="839"/>
      <c r="K1589" s="782"/>
      <c r="L1589" s="781"/>
      <c r="M1589" s="782"/>
      <c r="N1589" s="781"/>
      <c r="O1589" s="782"/>
      <c r="P1589" s="781"/>
      <c r="Q1589" s="782"/>
      <c r="R1589" s="781"/>
      <c r="S1589" s="720"/>
    </row>
    <row r="1590" spans="1:19" s="716" customFormat="1" ht="12.6" customHeight="1">
      <c r="A1590" s="715"/>
      <c r="B1590" s="766"/>
      <c r="C1590" s="766"/>
      <c r="D1590" s="766"/>
      <c r="E1590" s="766"/>
      <c r="F1590" s="766"/>
      <c r="G1590" s="766"/>
      <c r="H1590" s="766"/>
      <c r="I1590" s="951" t="s">
        <v>184</v>
      </c>
      <c r="J1590" s="952"/>
      <c r="K1590" s="953" t="s">
        <v>185</v>
      </c>
      <c r="L1590" s="954"/>
      <c r="M1590" s="953" t="s">
        <v>186</v>
      </c>
      <c r="N1590" s="954"/>
      <c r="O1590" s="953" t="s">
        <v>187</v>
      </c>
      <c r="P1590" s="954"/>
      <c r="Q1590" s="953" t="s">
        <v>188</v>
      </c>
      <c r="R1590" s="954"/>
      <c r="S1590" s="720"/>
    </row>
    <row r="1591" spans="1:19" s="716" customFormat="1" ht="12.6" customHeight="1">
      <c r="A1591" s="715"/>
      <c r="B1591" s="766" t="s">
        <v>1107</v>
      </c>
      <c r="C1591" s="766"/>
      <c r="D1591" s="766"/>
      <c r="E1591" s="766"/>
      <c r="F1591" s="766"/>
      <c r="G1591" s="766"/>
      <c r="H1591" s="810" t="s">
        <v>1109</v>
      </c>
      <c r="I1591" s="808" t="str">
        <f>INDEX(Jupiter.table.year,MATCH($D$1589,Jupiter.table.total.accumulated.days,1))</f>
        <v>前年</v>
      </c>
      <c r="J1591" s="956"/>
      <c r="K1591" s="808" t="str">
        <f>INDEX(Mars.table.year,MATCH($D$1589,Mars.table.total.accumulated.days,1))</f>
        <v>前年</v>
      </c>
      <c r="L1591" s="956"/>
      <c r="M1591" s="808" t="str">
        <f>INDEX(Saturn.table.year,MATCH($D$1589,Saturn.table.total.accumulated.days,1))</f>
        <v>前年</v>
      </c>
      <c r="N1591" s="956"/>
      <c r="O1591" s="808" t="str">
        <f>INDEX(Venus.table.year,MATCH($D$1589,Venus.table.total.accumulated.days,1))</f>
        <v>本年</v>
      </c>
      <c r="P1591" s="956"/>
      <c r="Q1591" s="808" t="str">
        <f>INDEX(Mercury.table.year,MATCH($D$1589,Mercury.table.total.accumulated.days,1))</f>
        <v>本年</v>
      </c>
      <c r="R1591" s="956"/>
      <c r="S1591" s="720"/>
    </row>
    <row r="1592" spans="1:19" s="716" customFormat="1" ht="12.6" customHeight="1">
      <c r="A1592" s="715"/>
      <c r="B1592" s="766"/>
      <c r="C1592" s="766"/>
      <c r="D1592" s="766"/>
      <c r="E1592" s="766"/>
      <c r="F1592" s="766"/>
      <c r="G1592" s="766"/>
      <c r="H1592" s="810" t="s">
        <v>724</v>
      </c>
      <c r="I1592" s="808" t="str">
        <f>INDEX(Jupiter.table.month,MATCH($D$1589,Jupiter.table.total.accumulated.days,1))</f>
        <v>八月</v>
      </c>
      <c r="J1592" s="956"/>
      <c r="K1592" s="808" t="str">
        <f>INDEX(Mars.table.month,MATCH($D$1589,Mars.table.total.accumulated.days,1))</f>
        <v>十一月</v>
      </c>
      <c r="L1592" s="956"/>
      <c r="M1592" s="808" t="str">
        <f>INDEX(Saturn.table.month,MATCH($D$1589,Saturn.table.total.accumulated.days,1))</f>
        <v>十月</v>
      </c>
      <c r="N1592" s="956"/>
      <c r="O1592" s="808" t="str">
        <f>INDEX(Venus.table.month,MATCH($D$1589,Venus.table.total.accumulated.days,1))</f>
        <v>三月</v>
      </c>
      <c r="P1592" s="956"/>
      <c r="Q1592" s="808" t="str">
        <f>INDEX(Mercury.table.month,MATCH($D$1589,Mercury.table.total.accumulated.days,1))</f>
        <v>五月</v>
      </c>
      <c r="R1592" s="956"/>
      <c r="S1592" s="720"/>
    </row>
    <row r="1593" spans="1:19" s="716" customFormat="1" ht="12.6" customHeight="1">
      <c r="A1593" s="715"/>
      <c r="B1593" s="766"/>
      <c r="C1593" s="766"/>
      <c r="D1593" s="766"/>
      <c r="E1593" s="766"/>
      <c r="F1593" s="766"/>
      <c r="G1593" s="766"/>
      <c r="H1593" s="810" t="s">
        <v>1110</v>
      </c>
      <c r="I1593" s="808" t="str">
        <f>INDEX(Jupiter.table.day,MATCH($D$1589,Jupiter.table.total.accumulated.days,1))</f>
        <v>丙子</v>
      </c>
      <c r="J1593" s="957"/>
      <c r="K1593" s="808" t="str">
        <f>INDEX(Mars.table.day,MATCH($D$1589,Mars.table.total.accumulated.days,1))</f>
        <v>辛丑</v>
      </c>
      <c r="L1593" s="957"/>
      <c r="M1593" s="808" t="str">
        <f>INDEX(Saturn.table.day,MATCH($D$1589,Saturn.table.total.accumulated.days,1))</f>
        <v>戊午</v>
      </c>
      <c r="N1593" s="957"/>
      <c r="O1593" s="808" t="str">
        <f>INDEX(Venus.table.day,MATCH($D$1589,Venus.table.total.accumulated.days,1))</f>
        <v>辛丑</v>
      </c>
      <c r="P1593" s="957"/>
      <c r="Q1593" s="808" t="str">
        <f>INDEX(Mercury.table.day,MATCH($D$1589,Mercury.table.total.accumulated.days,1))</f>
        <v>壬辰</v>
      </c>
      <c r="R1593" s="957"/>
      <c r="S1593" s="720"/>
    </row>
    <row r="1594" spans="1:19" s="716" customFormat="1" ht="12.6" customHeight="1">
      <c r="A1594" s="715"/>
      <c r="B1594" s="766"/>
      <c r="C1594" s="766"/>
      <c r="D1594" s="766"/>
      <c r="E1594" s="766"/>
      <c r="F1594" s="766"/>
      <c r="G1594" s="766"/>
      <c r="H1594" s="810" t="s">
        <v>1113</v>
      </c>
      <c r="I1594" s="808"/>
      <c r="J1594" s="957"/>
      <c r="K1594" s="808"/>
      <c r="L1594" s="957"/>
      <c r="M1594" s="808"/>
      <c r="N1594" s="957"/>
      <c r="O1594" s="808" t="str">
        <f>INDEX(Venus.table.side,MATCH($D$1589,Venus.table.total.accumulated.days,1))</f>
        <v>晨</v>
      </c>
      <c r="P1594" s="957"/>
      <c r="Q1594" s="808" t="str">
        <f>INDEX(Mercury.table.side,MATCH($D$1589,Mercury.table.total.accumulated.days,1))</f>
        <v>晨</v>
      </c>
      <c r="R1594" s="957"/>
      <c r="S1594" s="720"/>
    </row>
    <row r="1595" spans="1:19" s="716" customFormat="1" ht="12.6" customHeight="1">
      <c r="A1595" s="715"/>
      <c r="B1595" s="766"/>
      <c r="C1595" s="766"/>
      <c r="D1595" s="766"/>
      <c r="E1595" s="766"/>
      <c r="F1595" s="766"/>
      <c r="G1595" s="766"/>
      <c r="H1595" s="810" t="s">
        <v>959</v>
      </c>
      <c r="I1595" s="808" t="str">
        <f>INDEX(Jupiter.table.lodge,MATCH($D$1589,Jupiter.table.total.accumulated.days,1))</f>
        <v>亢</v>
      </c>
      <c r="J1595" s="956"/>
      <c r="K1595" s="808" t="str">
        <f>INDEX(Mars.table.lodge,MATCH($D$1589,Mars.table.total.accumulated.days,1))</f>
        <v>斗</v>
      </c>
      <c r="L1595" s="956"/>
      <c r="M1595" s="808" t="str">
        <f>INDEX(Saturn.table.lodge,MATCH($D$1589,Saturn.table.total.accumulated.days,1))</f>
        <v>尾</v>
      </c>
      <c r="N1595" s="956"/>
      <c r="O1595" s="808" t="str">
        <f>INDEX(Venus.table.lodge,MATCH($D$1589,Venus.table.total.accumulated.days,1))</f>
        <v>昴</v>
      </c>
      <c r="P1595" s="956"/>
      <c r="Q1595" s="808" t="str">
        <f>INDEX(Mercury.table.lodge,MATCH($D$1589,Mercury.table.total.accumulated.days,1))</f>
        <v>井</v>
      </c>
      <c r="R1595" s="956"/>
      <c r="S1595" s="720"/>
    </row>
    <row r="1596" spans="1:19" s="716" customFormat="1" ht="12.6" customHeight="1">
      <c r="A1596" s="715"/>
      <c r="B1596" s="865"/>
      <c r="C1596" s="865"/>
      <c r="D1596" s="865"/>
      <c r="E1596" s="865"/>
      <c r="F1596" s="865"/>
      <c r="G1596" s="865"/>
      <c r="H1596" s="955" t="s">
        <v>1111</v>
      </c>
      <c r="I1596" s="808">
        <f>INDEX(Jupiter.table.du,MATCH($D$1589,Jupiter.table.total.accumulated.days,1))</f>
        <v>4</v>
      </c>
      <c r="J1596" s="957">
        <f>INDEX(Jupiter.table.du.parts,MATCH($D$1589,Jupiter.table.total.accumulated.days,1))</f>
        <v>2478</v>
      </c>
      <c r="K1596" s="808">
        <f>INDEX(Mars.table.du,MATCH($D$1589,Mars.table.total.accumulated.days,1))</f>
        <v>26</v>
      </c>
      <c r="L1596" s="957">
        <f>INDEX(Jupiter.table.du.parts,MATCH($D$1589,Jupiter.table.total.accumulated.days,1))</f>
        <v>2478</v>
      </c>
      <c r="M1596" s="808">
        <f>INDEX(Saturn.table.du,MATCH($D$1589,Saturn.table.total.accumulated.days,1))</f>
        <v>11</v>
      </c>
      <c r="N1596" s="957">
        <f>INDEX(Saturn.table.du.parts,MATCH($D$1589,Saturn.table.total.accumulated.days,1))</f>
        <v>29895</v>
      </c>
      <c r="O1596" s="808">
        <f>INDEX(Venus.table.du,MATCH($D$1589,Venus.table.total.accumulated.days,1))</f>
        <v>5</v>
      </c>
      <c r="P1596" s="957">
        <f>INDEX(Venus.table.du.parts,MATCH($D$1589,Venus.table.total.accumulated.days,1))</f>
        <v>20093</v>
      </c>
      <c r="Q1596" s="808">
        <f>INDEX(Mercury.table.du,MATCH($D$1589,Mercury.table.total.accumulated.days,1))</f>
        <v>18</v>
      </c>
      <c r="R1596" s="957">
        <f>INDEX(Mercury.table.du.parts,MATCH($D$1589,Mercury.table.total.accumulated.days,1))</f>
        <v>19859</v>
      </c>
      <c r="S1596" s="720"/>
    </row>
    <row r="1597" spans="1:19" s="716" customFormat="1" ht="12.6" customHeight="1">
      <c r="A1597" s="715"/>
      <c r="B1597" s="766"/>
      <c r="C1597" s="766"/>
      <c r="D1597" s="766"/>
      <c r="E1597" s="766"/>
      <c r="F1597" s="766"/>
      <c r="G1597" s="766"/>
      <c r="H1597" s="810" t="s">
        <v>1112</v>
      </c>
      <c r="I1597" s="808">
        <f>INDEX(Jupiter.table.dipper.du,MATCH($D$1589,Jupiter.table.total.accumulated.days,1))</f>
        <v>306</v>
      </c>
      <c r="J1597" s="957">
        <f>INDEX(Jupiter.table.dipper.du.parts,MATCH($D$1589,Jupiter.table.total.accumulated.days,1))</f>
        <v>6805</v>
      </c>
      <c r="K1597" s="808">
        <f>INDEX(Mars.table.dipper.du,MATCH($D$1589,Mars.table.total.accumulated.days,1))</f>
        <v>26</v>
      </c>
      <c r="L1597" s="957">
        <f>INDEX(Mars.table.dipper.du.parts,MATCH($D$1589,Mars.table.total.accumulated.days,1))</f>
        <v>831</v>
      </c>
      <c r="M1597" s="808">
        <f>INDEX(Saturn.table.dipper.du,MATCH($D$1589,Saturn.table.total.accumulated.days,1))</f>
        <v>348</v>
      </c>
      <c r="N1597" s="957">
        <f>INDEX(Saturn.table.dipper.du.parts,MATCH($D$1589,Saturn.table.total.accumulated.days,1))</f>
        <v>2607</v>
      </c>
      <c r="O1597" s="808">
        <f>INDEX(Venus.table.dipper.du,MATCH($D$1589,Venus.table.total.accumulated.days,1))</f>
        <v>146</v>
      </c>
      <c r="P1597" s="957">
        <f>INDEX(Venus.table.dipper.du.parts,MATCH($D$1589,Venus.table.total.accumulated.days,1))</f>
        <v>2603</v>
      </c>
      <c r="Q1597" s="808">
        <f>INDEX(Mercury.table.dipper.du,MATCH($D$1589,Mercury.table.total.accumulated.days,1))</f>
        <v>196</v>
      </c>
      <c r="R1597" s="957">
        <f>INDEX(Mercury.table.dipper.du.parts,MATCH($D$1589,Mercury.table.total.accumulated.days,1))</f>
        <v>31767</v>
      </c>
      <c r="S1597" s="720"/>
    </row>
    <row r="1598" spans="1:19" s="26" customFormat="1">
      <c r="A1598" s="45"/>
      <c r="B1598"/>
      <c r="I1598" s="960"/>
      <c r="J1598" s="74"/>
      <c r="K1598" s="204"/>
      <c r="L1598" s="206"/>
      <c r="M1598" s="204"/>
      <c r="N1598" s="206"/>
      <c r="O1598" s="204"/>
      <c r="P1598" s="206"/>
      <c r="Q1598" s="204"/>
      <c r="R1598" s="961"/>
    </row>
    <row r="1599" spans="1:19" s="742" customFormat="1" ht="13.95" customHeight="1">
      <c r="A1599" s="741" t="s">
        <v>1115</v>
      </c>
      <c r="B1599" s="701" t="s">
        <v>1114</v>
      </c>
      <c r="I1599" s="869" t="s">
        <v>184</v>
      </c>
      <c r="J1599" s="870"/>
      <c r="K1599" s="880" t="s">
        <v>185</v>
      </c>
      <c r="L1599" s="881"/>
      <c r="M1599" s="869" t="s">
        <v>186</v>
      </c>
      <c r="N1599" s="870"/>
      <c r="O1599" s="880" t="s">
        <v>187</v>
      </c>
      <c r="P1599" s="881"/>
      <c r="Q1599" s="869" t="s">
        <v>188</v>
      </c>
      <c r="R1599" s="870"/>
      <c r="S1599" s="800"/>
    </row>
    <row r="1600" spans="1:19" s="35" customFormat="1">
      <c r="A1600" s="726">
        <v>247</v>
      </c>
      <c r="B1600" s="962" t="s">
        <v>1116</v>
      </c>
      <c r="C1600" s="963"/>
      <c r="D1600" s="963"/>
      <c r="E1600" s="963"/>
      <c r="F1600" s="963"/>
      <c r="G1600" s="963"/>
      <c r="H1600" s="35" t="s">
        <v>1117</v>
      </c>
      <c r="I1600" s="964">
        <f>D1481</f>
        <v>16</v>
      </c>
      <c r="J1600" s="965">
        <f>E1481</f>
        <v>7320.5</v>
      </c>
      <c r="K1600" s="964">
        <f>D1499</f>
        <v>71</v>
      </c>
      <c r="L1600" s="965">
        <f>E1499</f>
        <v>2694</v>
      </c>
      <c r="M1600" s="964">
        <f>D1517</f>
        <v>19</v>
      </c>
      <c r="N1600" s="965">
        <f>E1517</f>
        <v>1081.5</v>
      </c>
      <c r="O1600" s="964">
        <f>IF($O$1594="夕",D1535,D1541)</f>
        <v>41</v>
      </c>
      <c r="P1600" s="965">
        <f>IF($O$1594="夕",E1535,E1541)</f>
        <v>281</v>
      </c>
      <c r="Q1600" s="964">
        <f>IF($Q$1594="夕",D1561,D1566)</f>
        <v>16</v>
      </c>
      <c r="R1600" s="965">
        <f>IF($Q$1594="夕",E1561,E1566)</f>
        <v>44805</v>
      </c>
    </row>
    <row r="1601" spans="1:19" s="35" customFormat="1">
      <c r="A1601" s="726"/>
      <c r="B1601" s="962"/>
      <c r="C1601" s="963"/>
      <c r="D1601" s="963"/>
      <c r="E1601" s="963"/>
      <c r="F1601" s="963"/>
      <c r="G1601" s="963"/>
      <c r="H1601" s="970" t="s">
        <v>1118</v>
      </c>
      <c r="I1601" s="964">
        <f>INT(MOD((I1597+I1600)*木日度法+J1600+J1597,周天*木日度法/日法)/木日度法)</f>
        <v>322</v>
      </c>
      <c r="J1601" s="965">
        <f>MOD(MOD((I1597+I1600)*木日度法+J1600+J1597,周天*木日度法/日法),木日度法)</f>
        <v>14125.5</v>
      </c>
      <c r="K1601" s="964">
        <f>INT(MOD((K1597+K1600)*火日度法+L1600+L1597,周天*火日度法/日法)/火日度法)</f>
        <v>98</v>
      </c>
      <c r="L1601" s="965">
        <f>MOD(MOD((K1597+K1600)*火日度法+L1600+L1597,周天*火日度法/日法),火日度法)</f>
        <v>9</v>
      </c>
      <c r="M1601" s="964">
        <f>INT(MOD((M1597+M1600)*土日度法+N1600+N1597,周天*土日度法/日法)/土日度法)</f>
        <v>1</v>
      </c>
      <c r="N1601" s="965">
        <f>MOD(MOD((M1597+M1600)*土日度法+N1600+N1597,周天*土日度法/日法),土日度法)</f>
        <v>30976.5</v>
      </c>
      <c r="O1601" s="964">
        <f>INT(MOD((O1597+O1600)*金日度法+P1600+P1597,周天*金日度法/日法)/金日度法)</f>
        <v>187</v>
      </c>
      <c r="P1601" s="965">
        <f>MOD(MOD((O1597+O1600)*金日度法+P1600+P1597,周天*金日度法/日法),金日度法)</f>
        <v>2884</v>
      </c>
      <c r="Q1601" s="964">
        <f>INT(MOD((Q1597+Q1600)*水日度法+R1600+R1597,周天*水日度法/日法)/水日度法)</f>
        <v>213</v>
      </c>
      <c r="R1601" s="965">
        <f>MOD(MOD((Q1597+Q1600)*水日度法+R1600+R1597,周天*水日度法/日法),水日度法)</f>
        <v>28940</v>
      </c>
    </row>
    <row r="1602" spans="1:19" s="977" customFormat="1" ht="12.6" customHeight="1">
      <c r="A1602" s="971"/>
      <c r="B1602" s="972"/>
      <c r="C1602" s="972"/>
      <c r="D1602" s="972"/>
      <c r="E1602" s="972"/>
      <c r="F1602" s="972"/>
      <c r="G1602" s="972"/>
      <c r="H1602" s="973" t="s">
        <v>959</v>
      </c>
      <c r="I1602" s="974" t="str">
        <f>INDEX(lodge.names,MATCH(I1601+J1601/木日度法,lodge.dipper.du,1))</f>
        <v>氐</v>
      </c>
      <c r="J1602" s="975"/>
      <c r="K1602" s="974" t="str">
        <f>INDEX(lodge.names,MATCH(K1601+L1601/火日度法,lodge.dipper.du,1))</f>
        <v>壁</v>
      </c>
      <c r="L1602" s="975"/>
      <c r="M1602" s="974" t="str">
        <f>INDEX(lodge.names,MATCH(M1601+N1601/土日度法,lodge.dipper.du,1))</f>
        <v>斗</v>
      </c>
      <c r="N1602" s="975"/>
      <c r="O1602" s="974" t="str">
        <f>INDEX(lodge.names,MATCH(O1601+P1601/金日度法,lodge.dipper.du,1))</f>
        <v>井</v>
      </c>
      <c r="P1602" s="975"/>
      <c r="Q1602" s="974" t="str">
        <f>INDEX(lodge.names,MATCH(Q1601+R1601/水日度法,lodge.dipper.du,1))</f>
        <v>鬼</v>
      </c>
      <c r="R1602" s="975"/>
      <c r="S1602" s="976"/>
    </row>
    <row r="1603" spans="1:19" s="977" customFormat="1" ht="12.6" customHeight="1">
      <c r="A1603" s="971"/>
      <c r="B1603" s="972"/>
      <c r="C1603" s="972"/>
      <c r="D1603" s="972"/>
      <c r="E1603" s="972"/>
      <c r="F1603" s="972"/>
      <c r="G1603" s="972"/>
      <c r="H1603" s="978" t="s">
        <v>960</v>
      </c>
      <c r="I1603" s="979">
        <f>INT(((I1601*木日度法+J1601)-(INDEX(lodge.dipper.du,MATCH(I1602,lodge.names,0))*木日度法))/木日度法)</f>
        <v>11</v>
      </c>
      <c r="J1603" s="980">
        <f>MOD(((I1601*木日度法+J1601)-(INDEX(lodge.dipper.du,MATCH(I1602,lodge.names,0))*木日度法)),木日度法)</f>
        <v>9798.5</v>
      </c>
      <c r="K1603" s="979">
        <f>INT(((K1601*火日度法+L1601)-(INDEX(lodge.dipper.du,MATCH(K1602,lodge.names,0))*火日度法))/火日度法)</f>
        <v>8</v>
      </c>
      <c r="L1603" s="980">
        <f>MOD(((K1601*火日度法+L1601)-(INDEX(lodge.dipper.du,MATCH(K1602,lodge.names,0))*火日度法)),火日度法)</f>
        <v>2646</v>
      </c>
      <c r="M1603" s="979">
        <f>INT(((M1601*土日度法+N1601)-(INDEX(lodge.dipper.du,MATCH(M1602,lodge.names,0))*土日度法))/土日度法)</f>
        <v>1</v>
      </c>
      <c r="N1603" s="980">
        <f>MOD(((M1601*土日度法+N1601)-(INDEX(lodge.dipper.du,MATCH(M1602,lodge.names,0))*土日度法)),土日度法)</f>
        <v>30976.5</v>
      </c>
      <c r="O1603" s="979">
        <f>INT(((O1601*金日度法+P1601)-(INDEX(lodge.dipper.du,MATCH(O1602,lodge.names,0))*金日度法))/金日度法)</f>
        <v>8</v>
      </c>
      <c r="P1603" s="980">
        <f>MOD(((O1601*金日度法+P1601)-(INDEX(lodge.dipper.du,MATCH(O1602,lodge.names,0))*金日度法)),金日度法)</f>
        <v>20374</v>
      </c>
      <c r="Q1603" s="979">
        <f>INT(((Q1601*水日度法+R1601)-(INDEX(lodge.dipper.du,MATCH(Q1602,lodge.names,0))*水日度法))/水日度法)</f>
        <v>2</v>
      </c>
      <c r="R1603" s="980">
        <f>MOD(((Q1601*水日度法+R1601)-(INDEX(lodge.dipper.du,MATCH(Q1602,lodge.names,0))*水日度法)),水日度法)</f>
        <v>17032</v>
      </c>
      <c r="S1603" s="976"/>
    </row>
    <row r="1604" spans="1:19" s="35" customFormat="1">
      <c r="A1604" s="726"/>
      <c r="B1604" s="962"/>
      <c r="C1604" s="963"/>
      <c r="D1604" s="963"/>
      <c r="E1604" s="963"/>
      <c r="F1604" s="963"/>
      <c r="G1604" s="963"/>
      <c r="I1604" s="967"/>
      <c r="J1604" s="968"/>
      <c r="K1604" s="724"/>
      <c r="L1604" s="969"/>
      <c r="M1604" s="724"/>
      <c r="N1604" s="969"/>
      <c r="O1604" s="724"/>
      <c r="P1604" s="969"/>
      <c r="Q1604" s="724"/>
      <c r="R1604" s="966"/>
    </row>
    <row r="1605" spans="1:19" ht="28.2" customHeight="1">
      <c r="B1605" s="871" t="s">
        <v>1122</v>
      </c>
      <c r="C1605" s="871"/>
      <c r="D1605" s="871"/>
      <c r="E1605" s="871"/>
      <c r="F1605" s="871"/>
      <c r="G1605" s="871"/>
      <c r="H1605" s="872"/>
      <c r="I1605" s="782"/>
      <c r="J1605" s="781"/>
      <c r="K1605" s="782"/>
      <c r="L1605" s="781"/>
      <c r="M1605" s="782"/>
      <c r="N1605" s="781"/>
      <c r="O1605" s="782"/>
      <c r="P1605" s="781"/>
      <c r="Q1605" s="782"/>
      <c r="R1605" s="781"/>
    </row>
    <row r="1606" spans="1:19" s="716" customFormat="1" ht="12.6" customHeight="1">
      <c r="A1606" s="715"/>
      <c r="B1606" s="766"/>
      <c r="C1606" s="766"/>
      <c r="D1606" s="766"/>
      <c r="E1606" s="766"/>
      <c r="F1606" s="766"/>
      <c r="G1606" s="766"/>
      <c r="H1606" s="810" t="s">
        <v>1124</v>
      </c>
      <c r="I1606" s="808">
        <f>$D$1589</f>
        <v>106878</v>
      </c>
      <c r="J1606" s="957">
        <f>ROUND($H$1585*木日度法/100,0)</f>
        <v>6058</v>
      </c>
      <c r="K1606" s="808">
        <f>$D$1589</f>
        <v>106878</v>
      </c>
      <c r="L1606" s="957">
        <f>ROUND($H$1585*火日度法/100,0)</f>
        <v>1231</v>
      </c>
      <c r="M1606" s="808">
        <f>$D$1589</f>
        <v>106878</v>
      </c>
      <c r="N1606" s="957">
        <f>ROUND($H$1585*土日度法/100,0)</f>
        <v>12734</v>
      </c>
      <c r="O1606" s="808">
        <f>$D$1589</f>
        <v>106878</v>
      </c>
      <c r="P1606" s="957">
        <f>ROUND($H$1585*金日度法/100,0)</f>
        <v>8162</v>
      </c>
      <c r="Q1606" s="808">
        <f>$D$1589</f>
        <v>106878</v>
      </c>
      <c r="R1606" s="957">
        <f>ROUND($H$1585*水日度法/100,0)</f>
        <v>16671</v>
      </c>
      <c r="S1606" s="720"/>
    </row>
    <row r="1607" spans="1:19" s="716" customFormat="1" ht="12.6" customHeight="1">
      <c r="A1607" s="715"/>
      <c r="B1607" s="766"/>
      <c r="C1607" s="766"/>
      <c r="D1607" s="766"/>
      <c r="E1607" s="766"/>
      <c r="F1607" s="766"/>
      <c r="G1607" s="766"/>
      <c r="H1607" s="810" t="s">
        <v>1123</v>
      </c>
      <c r="I1607" s="808">
        <f>INDEX(Jupiter.table.total.accumulated.days,MATCH($D$1589,Jupiter.table.total.accumulated.days,1))</f>
        <v>106572</v>
      </c>
      <c r="J1607" s="957">
        <f>INDEX(Jupiter.table.day.remainder,MATCH($D$1589,Jupiter.table.total.accumulated.days,1))</f>
        <v>15459</v>
      </c>
      <c r="K1607" s="808">
        <f>INDEX(Mars.table.total.accumulated.days,MATCH($D$1589,Mars.table.total.accumulated.days,1))</f>
        <v>106657</v>
      </c>
      <c r="L1607" s="957">
        <f>INDEX(Mars.table.day.remainder,MATCH($D$1589,Mars.table.total.accumulated.days,1))</f>
        <v>3468</v>
      </c>
      <c r="M1607" s="808">
        <f>INDEX(Saturn.table.total.accumulated.days,MATCH($D$1589,Saturn.table.total.accumulated.days,1))</f>
        <v>106614</v>
      </c>
      <c r="N1607" s="957">
        <f>INDEX(Saturn.table.day.remainder,MATCH($D$1589,Saturn.table.total.accumulated.days,1))</f>
        <v>20799</v>
      </c>
      <c r="O1607" s="808">
        <f>INDEX(Venus.table.total.accumulated.days,MATCH($D$1589,Venus.table.total.accumulated.days,1))</f>
        <v>106777</v>
      </c>
      <c r="P1607" s="957">
        <f>INDEX(Venus.table.day.remainder,MATCH($D$1589,Venus.table.total.accumulated.days,1))</f>
        <v>20093</v>
      </c>
      <c r="Q1607" s="808">
        <f>INDEX(Mercury.table.total.accumulated.days,MATCH($D$1589,Mercury.table.total.accumulated.days,1))</f>
        <v>106828</v>
      </c>
      <c r="R1607" s="957">
        <f>INDEX(Mercury.table.day.remainder,MATCH($D$1589,Mercury.table.total.accumulated.days,1))</f>
        <v>19859</v>
      </c>
      <c r="S1607" s="720"/>
    </row>
    <row r="1608" spans="1:19" s="716" customFormat="1" ht="12.6" customHeight="1">
      <c r="A1608" s="715"/>
      <c r="B1608" s="766"/>
      <c r="C1608" s="766"/>
      <c r="D1608" s="766"/>
      <c r="E1608" s="766"/>
      <c r="F1608" s="766"/>
      <c r="G1608" s="766"/>
      <c r="H1608" s="810" t="s">
        <v>887</v>
      </c>
      <c r="I1608" s="782">
        <f>INT(((I1606-I1607)*木日度法+J1606-J1607)/木日度法)</f>
        <v>305</v>
      </c>
      <c r="J1608" s="781">
        <f>MOD(J1606-J1607,木日度法)</f>
        <v>7907</v>
      </c>
      <c r="K1608" s="782">
        <f>INT(((K1606-K1607)*火日度法+L1606-L1607)/火日度法)</f>
        <v>220</v>
      </c>
      <c r="L1608" s="781">
        <f>MOD(L1606-L1607,火日度法)</f>
        <v>1279</v>
      </c>
      <c r="M1608" s="782">
        <f>INT(((M1606-M1607)*土日度法+N1606-N1607)/土日度法)</f>
        <v>263</v>
      </c>
      <c r="N1608" s="781">
        <f>MOD(N1606-N1607,土日度法)</f>
        <v>28319</v>
      </c>
      <c r="O1608" s="782">
        <f>INT(((O1606-O1607)*金日度法+P1606-P1607)/金日度法)</f>
        <v>100</v>
      </c>
      <c r="P1608" s="781">
        <f>MOD(P1606-P1607,金日度法)</f>
        <v>11389</v>
      </c>
      <c r="Q1608" s="782">
        <f>INT(((Q1606-Q1607)*水日度法+R1606-R1607)/水日度法)</f>
        <v>49</v>
      </c>
      <c r="R1608" s="781">
        <f>MOD(R1606-R1607,水日度法)</f>
        <v>44444</v>
      </c>
      <c r="S1608" s="739"/>
    </row>
    <row r="1609" spans="1:19" s="716" customFormat="1" ht="12.6" customHeight="1">
      <c r="A1609" s="715"/>
      <c r="B1609" s="766"/>
      <c r="C1609" s="766"/>
      <c r="D1609" s="766"/>
      <c r="E1609" s="766"/>
      <c r="F1609" s="766"/>
      <c r="G1609" s="766"/>
      <c r="H1609" s="766"/>
      <c r="I1609" s="782"/>
      <c r="J1609" s="781"/>
      <c r="K1609" s="782"/>
      <c r="L1609" s="781"/>
      <c r="M1609" s="782"/>
      <c r="N1609" s="781"/>
      <c r="O1609" s="782"/>
      <c r="P1609" s="781"/>
      <c r="Q1609" s="782"/>
      <c r="R1609" s="781"/>
      <c r="S1609" s="739"/>
    </row>
    <row r="1610" spans="1:19" s="716" customFormat="1" ht="12.6" customHeight="1">
      <c r="A1610" s="715"/>
      <c r="B1610" s="766"/>
      <c r="C1610" s="766"/>
      <c r="D1610" s="766"/>
      <c r="E1610" s="766"/>
      <c r="F1610" s="766"/>
      <c r="G1610" s="766"/>
      <c r="H1610" s="810" t="s">
        <v>1128</v>
      </c>
      <c r="I1610" s="782" t="str">
        <f>INDEX(Jupiter.phase.name,MATCH(I1608*木日度法+J1608,Jupiter.days.since.conjunction,1))</f>
        <v>復順</v>
      </c>
      <c r="J1610" s="781">
        <f>INDEX(Jupiter.phase.number,MATCH(I1608*木日度法+J1608,Jupiter.days.since.conjunction,1))</f>
        <v>7</v>
      </c>
      <c r="K1610" s="782" t="str">
        <f>INDEX(Mars.phase.name,MATCH(K1608*火日度法+L1608,Mars.days.since.conjunction,1))</f>
        <v>見順</v>
      </c>
      <c r="L1610" s="781">
        <f>INDEX(Mars.phase.number,MATCH(K1608*火日度法+L1608,Mars.days.since.conjunction,1))</f>
        <v>2</v>
      </c>
      <c r="M1610" s="782" t="str">
        <f>INDEX(Saturn.phase.name,MATCH(M1608*土日度法+N1608,Saturn.days.since.conjunction,1))</f>
        <v>復留</v>
      </c>
      <c r="N1610" s="781">
        <f>INDEX(Saturn.phase.number,MATCH(M1608*土日度法+N1608,Saturn.days.since.conjunction,1))</f>
        <v>5</v>
      </c>
      <c r="O1610" s="782" t="str">
        <f>INDEX(Venus.phase.name,MATCH(O1608*金日度法+P1608,Venus.days.since.conjunction,1))</f>
        <v>而〔疾〕</v>
      </c>
      <c r="P1610" s="781">
        <f>INDEX(Venus.phase.number,MATCH(O1608*金日度法+P1608,Venus.days.since.conjunction,1))</f>
        <v>5</v>
      </c>
      <c r="Q1610" s="782" t="str">
        <f>INDEX(Mercury.phase.name,MATCH(Q1608*水日度法+R1608,Mercury.days.since.conjunction,1))</f>
        <v>伏</v>
      </c>
      <c r="R1610" s="781">
        <f>INDEX(Mercury.phase.number,MATCH(Q1608*水日度法+R1608,Mercury.days.since.conjunction,1))</f>
        <v>12</v>
      </c>
      <c r="S1610" s="739"/>
    </row>
    <row r="1611" spans="1:19" s="716" customFormat="1" ht="12.6" customHeight="1">
      <c r="A1611" s="715"/>
      <c r="B1611" s="766"/>
      <c r="C1611" s="766"/>
      <c r="D1611" s="766"/>
      <c r="E1611" s="766"/>
      <c r="F1611" s="766"/>
      <c r="G1611" s="766"/>
      <c r="H1611" s="810" t="s">
        <v>1125</v>
      </c>
      <c r="I1611" s="782">
        <f>INT(INDEX(Jupiter.days.since.conjunction,MATCH(I1608*木日度法+J1608,Jupiter.days.since.conjunction,1))/木日度法)</f>
        <v>266</v>
      </c>
      <c r="J1611" s="781">
        <f>MOD(INDEX(Jupiter.days.since.conjunction,MATCH(I1608*木日度法+J1608,Jupiter.days.since.conjunction,1)),木日度法)</f>
        <v>7320.5</v>
      </c>
      <c r="K1611" s="782">
        <f>INT(INDEX(Mars.days.since.conjunction,MATCH(K1608*火日度法+L1608,Mars.days.since.conjunction,1))/火日度法)</f>
        <v>71</v>
      </c>
      <c r="L1611" s="781">
        <f>MOD(INDEX(Mars.days.since.conjunction,MATCH(K1608*火日度法+L1608,Mars.days.since.conjunction,1)),火日度法)</f>
        <v>2694</v>
      </c>
      <c r="M1611" s="782">
        <f>INT(INDEX(Saturn.days.since.conjunction,MATCH(M1608*土日度法+N1608,Saturn.days.since.conjunction,1))/土日度法)</f>
        <v>240</v>
      </c>
      <c r="N1611" s="781">
        <f>MOD(INDEX(Saturn.days.since.conjunction,MATCH(M1608*土日度法+N1608,Saturn.days.since.conjunction,1)),土日度法)</f>
        <v>1081.5</v>
      </c>
      <c r="O1611" s="782">
        <f>INT(INDEX(Venus.days.since.conjunction,MATCH(O1608*金日度法+P1608,Venus.days.since.conjunction,1))/金日度法)</f>
        <v>69</v>
      </c>
      <c r="P1611" s="781">
        <f>MOD(INDEX(Venus.days.since.conjunction,MATCH(O1608*金日度法+P1608,Venus.days.since.conjunction,1)),金日度法)</f>
        <v>0</v>
      </c>
      <c r="Q1611" s="782">
        <f>INT(INDEX(Mercury.days.since.conjunction,MATCH(Q1608*水日度法+R1608,Mercury.days.since.conjunction,1))/水日度法)</f>
        <v>48</v>
      </c>
      <c r="R1611" s="781">
        <f>MOD(INDEX(Mercury.days.since.conjunction,MATCH(Q1608*水日度法+R1608,Mercury.days.since.conjunction,1)),水日度法)</f>
        <v>44805</v>
      </c>
      <c r="S1611" s="739"/>
    </row>
    <row r="1612" spans="1:19" s="716" customFormat="1" ht="12.6" customHeight="1">
      <c r="A1612" s="715"/>
      <c r="B1612" s="766"/>
      <c r="C1612" s="766"/>
      <c r="D1612" s="766"/>
      <c r="E1612" s="766"/>
      <c r="F1612" s="766"/>
      <c r="G1612" s="766"/>
      <c r="H1612" s="955" t="s">
        <v>1126</v>
      </c>
      <c r="I1612" s="782">
        <f>INT(INDEX(Jupiter.du.since.conjunction,MATCH(I1608*木日度法+J1608,Jupiter.days.since.conjunction,1))/木日度法)</f>
        <v>10</v>
      </c>
      <c r="J1612" s="781">
        <f>MOD(INDEX(Jupiter.du.since.conjunction,MATCH(I1608*木日度法+J1608,Jupiter.days.since.conjunction,1)),木日度法)</f>
        <v>13811</v>
      </c>
      <c r="K1612" s="782">
        <f>INT(INDEX(Mars.du.since.conjunction,MATCH(K1608*火日度法+L1608,Mars.days.since.conjunction,1))/火日度法)</f>
        <v>55</v>
      </c>
      <c r="L1612" s="781">
        <f>MOD(INDEX(Jupiter.du.since.conjunction,MATCH(K1608*木日度法+L1608,Jupiter.days.since.conjunction,1)),木日度法)</f>
        <v>13811</v>
      </c>
      <c r="M1612" s="782">
        <f>INT(INDEX(Saturn.du.since.conjunction,MATCH(M1608*土日度法+N1608,Saturn.days.since.conjunction,1))/土日度法)</f>
        <v>3</v>
      </c>
      <c r="N1612" s="781">
        <f>MOD(INDEX(Saturn.du.since.conjunction,MATCH(M1608*土日度法+N1608,Saturn.days.since.conjunction,1)),土日度法)</f>
        <v>14726.5</v>
      </c>
      <c r="O1612" s="782">
        <f>INT(INDEX(Venus.du.since.conjunction,MATCH(O1608*金日度法+P1608,Venus.days.since.conjunction,1))/金日度法)</f>
        <v>23</v>
      </c>
      <c r="P1612" s="781">
        <f>MOD(INDEX(Venus.du.since.conjunction,MATCH(O1608*金日度法+P1608,Venus.days.since.conjunction,1)),金日度法)</f>
        <v>0</v>
      </c>
      <c r="Q1612" s="782">
        <f>INT(INDEX(Mercury.du.since.conjunction,MATCH(Q1608*水日度法+R1608,Mercury.days.since.conjunction,1))/水日度法)</f>
        <v>122</v>
      </c>
      <c r="R1612" s="781">
        <f>MOD(INDEX(Mercury.du.since.conjunction,MATCH(Q1608*水日度法+R1608,Mercury.days.since.conjunction,1)),水日度法)</f>
        <v>41978</v>
      </c>
      <c r="S1612" s="739"/>
    </row>
    <row r="1613" spans="1:19" s="716" customFormat="1" ht="12.6" customHeight="1">
      <c r="A1613" s="715"/>
      <c r="B1613" s="766"/>
      <c r="C1613" s="766"/>
      <c r="D1613" s="766"/>
      <c r="E1613" s="766"/>
      <c r="F1613" s="766"/>
      <c r="G1613" s="766"/>
      <c r="H1613" s="810" t="s">
        <v>1127</v>
      </c>
      <c r="I1613" s="782">
        <f>INDEX(Jupiter.velocity.denominator,MATCH(I1608*木日度法+J1608,Jupiter.days.since.conjunction,1))</f>
        <v>9</v>
      </c>
      <c r="J1613" s="984">
        <f>INDEX(Jupiter.velocity.divisor,MATCH(I1608*木日度法+J1608,Jupiter.days.since.conjunction,1))</f>
        <v>58</v>
      </c>
      <c r="K1613" s="782">
        <f>INDEX(Mars.velocity.denominator,MATCH(K1608*火日度法+L1608,Mars.days.since.conjunction,1))</f>
        <v>14</v>
      </c>
      <c r="L1613" s="984">
        <f>INDEX(Mars.velocity.divisor,MATCH(K1608*火日度法+L1608,Mars.days.since.conjunction,1))</f>
        <v>23</v>
      </c>
      <c r="M1613" s="782">
        <f>INDEX(Saturn.velocity.denominator,MATCH(M1608*土日度法+N1608,Saturn.days.since.conjunction,1))</f>
        <v>0</v>
      </c>
      <c r="N1613" s="984">
        <f>INDEX(Saturn.velocity.divisor,MATCH(M1608*土日度法+N1608,Saturn.days.since.conjunction,1))</f>
        <v>17</v>
      </c>
      <c r="O1613" s="782">
        <f>INDEX(Venus.velocity.denominator,MATCH(O1608*金日度法+P1608,Venus.days.since.conjunction,1))</f>
        <v>105</v>
      </c>
      <c r="P1613" s="984">
        <f>INDEX(Venus.velocity.divisor,MATCH(O1608*金日度法+P1608,Venus.days.since.conjunction,1))</f>
        <v>91</v>
      </c>
      <c r="Q1613" s="782">
        <f>INDEX(Mercury.velocity.denominator,MATCH(Q1608*水日度法+R1608,Mercury.days.since.conjunction,1))</f>
        <v>-7</v>
      </c>
      <c r="R1613" s="984">
        <f>INDEX(Mercury.velocity.divisor,MATCH(Q1608*水日度法+R1608,Mercury.days.since.conjunction,1))</f>
        <v>9</v>
      </c>
      <c r="S1613" s="739"/>
    </row>
    <row r="1614" spans="1:19" s="716" customFormat="1" ht="12.6" customHeight="1">
      <c r="A1614" s="715"/>
      <c r="B1614" s="766"/>
      <c r="C1614" s="766"/>
      <c r="D1614" s="766"/>
      <c r="E1614" s="766"/>
      <c r="F1614" s="766"/>
      <c r="G1614" s="766"/>
      <c r="H1614" s="766"/>
      <c r="I1614" s="782"/>
      <c r="J1614" s="781"/>
      <c r="K1614" s="782"/>
      <c r="L1614" s="781"/>
      <c r="M1614" s="782"/>
      <c r="N1614" s="781"/>
      <c r="O1614" s="782"/>
      <c r="P1614" s="781"/>
      <c r="Q1614" s="782"/>
      <c r="R1614" s="781"/>
      <c r="S1614" s="739"/>
    </row>
    <row r="1615" spans="1:19" s="716" customFormat="1" ht="12.6" customHeight="1">
      <c r="A1615" s="715"/>
      <c r="B1615" s="766"/>
      <c r="C1615" s="766"/>
      <c r="D1615" s="766"/>
      <c r="E1615" s="766"/>
      <c r="F1615" s="766"/>
      <c r="G1615" s="766"/>
      <c r="H1615" s="810" t="s">
        <v>1130</v>
      </c>
      <c r="I1615" s="782">
        <f>INT(MOD((I1601+I1612)*木日度法+J1601+J1612,木日度法*周天/日法)/木日度法)</f>
        <v>333</v>
      </c>
      <c r="J1615" s="781">
        <f>MOD(MOD((I1601+I1612)*木日度法+J1601+J1612,木日度法*周天/日法),木日度法)</f>
        <v>10628.5</v>
      </c>
      <c r="K1615" s="782">
        <f>INT(MOD((K1601+K1612)*火日度法+L1601+L1612,火日度法*周天/日法)/火日度法)</f>
        <v>156</v>
      </c>
      <c r="L1615" s="781">
        <f>MOD(MOD((K1601+K1612)*火日度法+L1601+L1612,火日度法*周天/日法),火日度法)</f>
        <v>3272</v>
      </c>
      <c r="M1615" s="782">
        <f>INT(MOD((M1601+M1612)*土日度法+N1601+N1612,土日度法*周天/日法)/土日度法)</f>
        <v>5</v>
      </c>
      <c r="N1615" s="781">
        <f>MOD(MOD((M1601+M1612)*土日度法+N1601+N1612,土日度法*周天/日法),土日度法)</f>
        <v>9319</v>
      </c>
      <c r="O1615" s="782">
        <f>INT(MOD((O1601+O1612)*金日度法+P1601+P1612,金日度法*周天/日法)/金日度法)</f>
        <v>210</v>
      </c>
      <c r="P1615" s="781">
        <f>MOD(MOD((O1601+O1612)*金日度法+P1601+P1612,金日度法*周天/日法),金日度法)</f>
        <v>2884</v>
      </c>
      <c r="Q1615" s="782">
        <f>INT(MOD((Q1601+Q1612)*水日度法+R1601+R1612,水日度法*周天/日法)/水日度法)</f>
        <v>336</v>
      </c>
      <c r="R1615" s="781">
        <f>MOD(MOD((Q1601+Q1612)*水日度法+R1601+R1612,水日度法*周天/日法),水日度法)</f>
        <v>23286</v>
      </c>
      <c r="S1615" s="739"/>
    </row>
    <row r="1616" spans="1:19" s="716" customFormat="1" ht="12.6" customHeight="1">
      <c r="A1616" s="715"/>
      <c r="B1616" s="766"/>
      <c r="C1616" s="766"/>
      <c r="D1616" s="766"/>
      <c r="E1616" s="766"/>
      <c r="F1616" s="766"/>
      <c r="G1616" s="766"/>
      <c r="H1616" s="811" t="s">
        <v>959</v>
      </c>
      <c r="I1616" s="812" t="str">
        <f>INDEX(lodge.names,MATCH((I1615*木日度法+J1615)/木日度法,lodge.dipper.du,1))</f>
        <v>心</v>
      </c>
      <c r="J1616" s="813"/>
      <c r="K1616" s="812" t="str">
        <f>INDEX(lodge.names,MATCH((K1615*火日度法+L1615)/火日度法,lodge.dipper.du,1))</f>
        <v>畢</v>
      </c>
      <c r="L1616" s="813"/>
      <c r="M1616" s="812" t="str">
        <f>INDEX(lodge.names,MATCH((M1615*土日度法+N1615)/土日度法,lodge.dipper.du,1))</f>
        <v>斗</v>
      </c>
      <c r="N1616" s="813"/>
      <c r="O1616" s="812" t="str">
        <f>INDEX(lodge.names,MATCH((O1615*金日度法+P1615)/金日度法,lodge.dipper.du,1))</f>
        <v>井</v>
      </c>
      <c r="P1616" s="813"/>
      <c r="Q1616" s="812" t="str">
        <f>INDEX(lodge.names,MATCH((Q1615*水日度法+R1615)/水日度法,lodge.dipper.du,1))</f>
        <v>尾</v>
      </c>
      <c r="R1616" s="813"/>
      <c r="S1616" s="739"/>
    </row>
    <row r="1617" spans="1:19" s="716" customFormat="1" ht="12.6" customHeight="1">
      <c r="A1617" s="715"/>
      <c r="B1617" s="766"/>
      <c r="C1617" s="766"/>
      <c r="D1617" s="766"/>
      <c r="E1617" s="766"/>
      <c r="F1617" s="766"/>
      <c r="G1617" s="766"/>
      <c r="H1617" s="814" t="s">
        <v>960</v>
      </c>
      <c r="I1617" s="815">
        <f>INT(((I1615*木日度法+J1615)-(INDEX(lodge.dipper.du,MATCH(I1616,lodge.names,0))*木日度法))/木日度法)</f>
        <v>2</v>
      </c>
      <c r="J1617" s="816">
        <f>MOD(((I1615*木日度法+J1615)-(INDEX(lodge.dipper.du,MATCH(I1616,lodge.names,0))*木日度法)),木日度法)</f>
        <v>6301.5</v>
      </c>
      <c r="K1617" s="815">
        <f>INT(((K1615*火日度法+L1615)-(INDEX(lodge.dipper.du,MATCH(K1616,lodge.names,0))*火日度法))/火日度法)</f>
        <v>5</v>
      </c>
      <c r="L1617" s="816">
        <f>MOD(((K1615*火日度法+L1615)-(INDEX(lodge.dipper.du,MATCH(K1616,lodge.names,0))*火日度法)),火日度法)</f>
        <v>2393</v>
      </c>
      <c r="M1617" s="815">
        <f>INT(((M1615*土日度法+N1615)-(INDEX(lodge.dipper.du,MATCH(M1616,lodge.names,0))*土日度法))/土日度法)</f>
        <v>5</v>
      </c>
      <c r="N1617" s="816">
        <f>MOD(((M1615*土日度法+N1615)-(INDEX(lodge.dipper.du,MATCH(M1616,lodge.names,0))*土日度法)),土日度法)</f>
        <v>9319</v>
      </c>
      <c r="O1617" s="815">
        <f>INT(((O1615*金日度法+P1615)-(INDEX(lodge.dipper.du,MATCH(O1616,lodge.names,0))*金日度法))/金日度法)</f>
        <v>31</v>
      </c>
      <c r="P1617" s="816">
        <f>MOD(((O1615*金日度法+P1615)-(INDEX(lodge.dipper.du,MATCH(O1616,lodge.names,0))*金日度法)),金日度法)</f>
        <v>20374</v>
      </c>
      <c r="Q1617" s="815">
        <f>INT(((Q1615*水日度法+R1615)-(INDEX(lodge.dipper.du,MATCH(Q1616,lodge.names,0))*水日度法))/水日度法)</f>
        <v>0</v>
      </c>
      <c r="R1617" s="816">
        <f>MOD(((Q1615*水日度法+R1615)-(INDEX(lodge.dipper.du,MATCH(Q1616,lodge.names,0))*水日度法)),水日度法)</f>
        <v>11378</v>
      </c>
      <c r="S1617" s="739"/>
    </row>
    <row r="1618" spans="1:19" s="35" customFormat="1">
      <c r="A1618" s="726"/>
      <c r="B1618" s="962"/>
      <c r="C1618" s="963"/>
      <c r="D1618" s="963"/>
      <c r="E1618" s="963"/>
      <c r="F1618" s="963"/>
      <c r="G1618" s="963"/>
      <c r="I1618" s="964"/>
      <c r="J1618" s="704"/>
      <c r="K1618" s="964"/>
      <c r="L1618" s="704"/>
      <c r="M1618" s="964"/>
      <c r="N1618" s="704"/>
      <c r="O1618" s="964"/>
      <c r="P1618" s="704"/>
      <c r="Q1618" s="964"/>
      <c r="R1618" s="704"/>
    </row>
    <row r="1619" spans="1:19" s="35" customFormat="1">
      <c r="A1619" s="726">
        <f>A1600+1</f>
        <v>248</v>
      </c>
      <c r="B1619" s="962" t="s">
        <v>1119</v>
      </c>
      <c r="C1619" s="963"/>
      <c r="D1619" s="963"/>
      <c r="E1619" s="963"/>
      <c r="F1619" s="963"/>
      <c r="G1619" s="963"/>
      <c r="I1619" s="964">
        <f>J1615*J1613</f>
        <v>616453</v>
      </c>
      <c r="J1619" s="717"/>
      <c r="K1619" s="964">
        <f t="shared" ref="K1619:R1619" si="256">L1615*L1613</f>
        <v>75256</v>
      </c>
      <c r="L1619" s="717"/>
      <c r="M1619" s="964">
        <f t="shared" ref="M1619:R1619" si="257">N1615*N1613</f>
        <v>158423</v>
      </c>
      <c r="N1619" s="717"/>
      <c r="O1619" s="964">
        <f t="shared" ref="O1619:R1619" si="258">P1615*P1613</f>
        <v>262444</v>
      </c>
      <c r="P1619" s="717"/>
      <c r="Q1619" s="964">
        <f t="shared" ref="Q1619:R1619" si="259">R1615*R1613</f>
        <v>209574</v>
      </c>
      <c r="R1619" s="717"/>
    </row>
    <row r="1620" spans="1:19" s="35" customFormat="1">
      <c r="A1620" s="726"/>
      <c r="B1620" s="962" t="s">
        <v>1120</v>
      </c>
      <c r="C1620" s="963"/>
      <c r="D1620" s="963"/>
      <c r="E1620" s="963"/>
      <c r="F1620" s="963"/>
      <c r="G1620" s="963"/>
      <c r="I1620" s="964">
        <f>INT(I1619/木日度法)</f>
        <v>35</v>
      </c>
      <c r="J1620" s="704">
        <f>MOD(I1619,木日度法)</f>
        <v>10673</v>
      </c>
      <c r="K1620" s="964">
        <f>INT(K1619/火日度法)</f>
        <v>21</v>
      </c>
      <c r="L1620" s="704">
        <f>MOD(K1619,火日度法)</f>
        <v>1420</v>
      </c>
      <c r="M1620" s="964">
        <f>INT(M1619/土日度法)</f>
        <v>4</v>
      </c>
      <c r="N1620" s="704">
        <f>MOD(M1619,土日度法)</f>
        <v>12887</v>
      </c>
      <c r="O1620" s="964">
        <f>INT(O1619/金日度法)</f>
        <v>11</v>
      </c>
      <c r="P1620" s="704">
        <f>MOD(O1619,金日度法)</f>
        <v>5924</v>
      </c>
      <c r="Q1620" s="964">
        <f>INT(Q1619/水日度法)</f>
        <v>4</v>
      </c>
      <c r="R1620" s="704">
        <f>MOD(Q1619,水日度法)</f>
        <v>19046</v>
      </c>
    </row>
    <row r="1621" spans="1:19" s="35" customFormat="1">
      <c r="A1621" s="726"/>
      <c r="B1621" s="962" t="s">
        <v>1121</v>
      </c>
      <c r="C1621" s="963"/>
      <c r="D1621" s="963"/>
      <c r="E1621" s="963"/>
      <c r="F1621" s="963"/>
      <c r="G1621" s="963"/>
      <c r="I1621" s="964">
        <f>I1620+J1621</f>
        <v>36</v>
      </c>
      <c r="J1621" s="717" t="b">
        <f>J1620&gt;=木日度法/2</f>
        <v>1</v>
      </c>
      <c r="K1621" s="964">
        <f t="shared" ref="K1621" si="260">K1620+L1621</f>
        <v>21</v>
      </c>
      <c r="L1621" s="717" t="b">
        <f>L1620&gt;=火日度法/2</f>
        <v>0</v>
      </c>
      <c r="M1621" s="964">
        <f t="shared" ref="M1621" si="261">M1620+N1621</f>
        <v>4</v>
      </c>
      <c r="N1621" s="717" t="b">
        <f>N1620&gt;=土日度法/2</f>
        <v>0</v>
      </c>
      <c r="O1621" s="964">
        <f t="shared" ref="O1621" si="262">O1620+P1621</f>
        <v>11</v>
      </c>
      <c r="P1621" s="717" t="b">
        <f>P1620&gt;=金日度法/2</f>
        <v>0</v>
      </c>
      <c r="Q1621" s="964">
        <f t="shared" ref="Q1621" si="263">Q1620+R1621</f>
        <v>4</v>
      </c>
      <c r="R1621" s="717" t="b">
        <f>R1620&gt;=水日度法/2</f>
        <v>0</v>
      </c>
    </row>
    <row r="1622" spans="1:19" s="35" customFormat="1">
      <c r="A1622" s="726"/>
      <c r="B1622" s="962"/>
      <c r="C1622" s="963"/>
      <c r="D1622" s="963"/>
      <c r="E1622" s="963"/>
      <c r="F1622" s="963"/>
      <c r="G1622" s="963"/>
      <c r="H1622" s="208" t="s">
        <v>1131</v>
      </c>
      <c r="I1622" s="964">
        <f>I1601</f>
        <v>322</v>
      </c>
      <c r="J1622" s="704">
        <f>I1621</f>
        <v>36</v>
      </c>
      <c r="K1622" s="964">
        <f t="shared" ref="K1622:R1622" si="264">K1601</f>
        <v>98</v>
      </c>
      <c r="L1622" s="704">
        <f t="shared" ref="L1622:R1622" si="265">K1621</f>
        <v>21</v>
      </c>
      <c r="M1622" s="964">
        <f t="shared" ref="M1622:R1622" si="266">M1601</f>
        <v>1</v>
      </c>
      <c r="N1622" s="704">
        <f t="shared" ref="N1622:R1622" si="267">M1621</f>
        <v>4</v>
      </c>
      <c r="O1622" s="964">
        <f t="shared" ref="O1622:R1622" si="268">O1601</f>
        <v>187</v>
      </c>
      <c r="P1622" s="704">
        <f t="shared" ref="P1622:R1622" si="269">O1621</f>
        <v>11</v>
      </c>
      <c r="Q1622" s="964">
        <f t="shared" ref="Q1622:R1622" si="270">Q1601</f>
        <v>213</v>
      </c>
      <c r="R1622" s="704">
        <f t="shared" ref="R1622" si="271">Q1621</f>
        <v>4</v>
      </c>
    </row>
    <row r="1623" spans="1:19" s="35" customFormat="1">
      <c r="A1623" s="726"/>
      <c r="B1623" s="962"/>
      <c r="C1623" s="963"/>
      <c r="D1623" s="963"/>
      <c r="E1623" s="963"/>
      <c r="F1623" s="963"/>
      <c r="G1623" s="963"/>
      <c r="H1623" s="208"/>
      <c r="I1623" s="964"/>
      <c r="J1623" s="704"/>
      <c r="K1623" s="964"/>
      <c r="L1623" s="704"/>
      <c r="M1623" s="964"/>
      <c r="N1623" s="704"/>
      <c r="O1623" s="964"/>
      <c r="P1623" s="704"/>
      <c r="Q1623" s="964"/>
      <c r="R1623" s="704"/>
    </row>
    <row r="1624" spans="1:19" s="716" customFormat="1" ht="12.6" customHeight="1">
      <c r="A1624" s="715"/>
      <c r="B1624" s="766"/>
      <c r="C1624" s="766"/>
      <c r="D1624" s="766"/>
      <c r="E1624" s="766"/>
      <c r="F1624" s="766"/>
      <c r="G1624" s="766"/>
      <c r="H1624" s="810" t="s">
        <v>1129</v>
      </c>
      <c r="I1624" s="782">
        <f>INT(((I1608-I1611)*木日度法+J1608-J1611)/木日度法)</f>
        <v>39</v>
      </c>
      <c r="J1624" s="781">
        <f>MOD(J1608-J1611,木日度法)</f>
        <v>586.5</v>
      </c>
      <c r="K1624" s="782">
        <f>INT(((K1608-K1611)*火日度法+L1608-L1611)/火日度法)</f>
        <v>148</v>
      </c>
      <c r="L1624" s="781">
        <f>MOD(L1608-L1611,火日度法)</f>
        <v>2101</v>
      </c>
      <c r="M1624" s="782">
        <f>INT(((M1608-M1611)*土日度法+N1608-N1611)/土日度法)</f>
        <v>23</v>
      </c>
      <c r="N1624" s="781">
        <f>MOD(N1608-N1611,土日度法)</f>
        <v>27237.5</v>
      </c>
      <c r="O1624" s="782">
        <f>INT(((O1608-O1611)*金日度法+P1608-P1611)/金日度法)</f>
        <v>31</v>
      </c>
      <c r="P1624" s="781">
        <f>MOD(P1608-P1611,金日度法)</f>
        <v>11389</v>
      </c>
      <c r="Q1624" s="782">
        <f>INT(((Q1608-Q1611)*水日度法+R1608-R1611)/水日度法)</f>
        <v>0</v>
      </c>
      <c r="R1624" s="781">
        <f>MOD(R1608-R1611,水日度法)</f>
        <v>47271</v>
      </c>
      <c r="S1624" s="739"/>
    </row>
    <row r="1625" spans="1:19" s="35" customFormat="1">
      <c r="A1625" s="726"/>
      <c r="B1625" s="962"/>
      <c r="C1625" s="963"/>
      <c r="D1625" s="963"/>
      <c r="E1625" s="963"/>
      <c r="F1625" s="963"/>
      <c r="G1625" s="963"/>
      <c r="H1625" s="208"/>
      <c r="I1625" s="964"/>
      <c r="J1625" s="717"/>
      <c r="K1625" s="964"/>
      <c r="L1625" s="717"/>
      <c r="M1625" s="964"/>
      <c r="N1625" s="717"/>
      <c r="O1625" s="964"/>
      <c r="P1625" s="717"/>
      <c r="Q1625" s="964"/>
      <c r="R1625" s="717"/>
    </row>
    <row r="1626" spans="1:19" s="26" customFormat="1">
      <c r="A1626" s="688">
        <f>A1619+1</f>
        <v>249</v>
      </c>
      <c r="B1626" s="599" t="s">
        <v>1132</v>
      </c>
      <c r="C1626" s="959"/>
      <c r="D1626" s="959"/>
      <c r="E1626" s="959"/>
      <c r="F1626" s="959"/>
      <c r="G1626" s="959"/>
      <c r="I1626" s="964">
        <f>I1624*I1613</f>
        <v>351</v>
      </c>
      <c r="J1626" s="704"/>
      <c r="K1626" s="964">
        <f t="shared" ref="K1626:R1626" si="272">K1624*K1613</f>
        <v>2072</v>
      </c>
      <c r="L1626" s="704"/>
      <c r="M1626" s="964">
        <f t="shared" ref="M1626:R1626" si="273">M1624*M1613</f>
        <v>0</v>
      </c>
      <c r="N1626" s="704"/>
      <c r="O1626" s="964">
        <f t="shared" ref="O1626:R1626" si="274">O1624*O1613</f>
        <v>3255</v>
      </c>
      <c r="P1626" s="704"/>
      <c r="Q1626" s="964">
        <f t="shared" ref="Q1626:R1626" si="275">Q1624*Q1613</f>
        <v>0</v>
      </c>
      <c r="R1626" s="704"/>
    </row>
    <row r="1627" spans="1:19" s="26" customFormat="1">
      <c r="A1627" s="688"/>
      <c r="B1627" s="599" t="s">
        <v>1133</v>
      </c>
      <c r="C1627" s="959"/>
      <c r="D1627" s="959"/>
      <c r="E1627" s="959"/>
      <c r="F1627" s="959"/>
      <c r="G1627" s="959"/>
      <c r="I1627" s="964">
        <f>INT(I1626/J1613)</f>
        <v>6</v>
      </c>
      <c r="J1627" s="704">
        <f>MOD(I1626,J1613)</f>
        <v>3</v>
      </c>
      <c r="K1627" s="964">
        <f t="shared" ref="K1627" si="276">INT(K1626/L1613)</f>
        <v>90</v>
      </c>
      <c r="L1627" s="704">
        <f t="shared" ref="L1627:R1627" si="277">MOD(K1626,L1613)</f>
        <v>2</v>
      </c>
      <c r="M1627" s="964">
        <f t="shared" ref="M1627" si="278">INT(M1626/N1613)</f>
        <v>0</v>
      </c>
      <c r="N1627" s="704">
        <f t="shared" ref="N1627:R1627" si="279">MOD(M1626,N1613)</f>
        <v>0</v>
      </c>
      <c r="O1627" s="964">
        <f t="shared" ref="O1627" si="280">INT(O1626/P1613)</f>
        <v>35</v>
      </c>
      <c r="P1627" s="704">
        <f t="shared" ref="P1627:R1627" si="281">MOD(O1626,P1613)</f>
        <v>70</v>
      </c>
      <c r="Q1627" s="964">
        <f t="shared" ref="Q1627" si="282">INT(Q1626/R1613)</f>
        <v>0</v>
      </c>
      <c r="R1627" s="704">
        <f t="shared" ref="R1627" si="283">MOD(Q1626,R1613)</f>
        <v>0</v>
      </c>
    </row>
    <row r="1628" spans="1:19" s="26" customFormat="1">
      <c r="A1628" s="688"/>
      <c r="B1628" s="599"/>
      <c r="C1628" s="959"/>
      <c r="D1628" s="959"/>
      <c r="E1628" s="959"/>
      <c r="F1628" s="959"/>
      <c r="G1628" s="959"/>
      <c r="I1628" s="964"/>
      <c r="J1628" s="704"/>
      <c r="K1628" s="964"/>
      <c r="L1628" s="704"/>
      <c r="M1628" s="964"/>
      <c r="N1628" s="704"/>
      <c r="O1628" s="964"/>
      <c r="P1628" s="704"/>
      <c r="Q1628" s="964"/>
      <c r="R1628" s="704"/>
    </row>
    <row r="1629" spans="1:19" ht="41.4" customHeight="1" thickBot="1">
      <c r="B1629" s="871" t="s">
        <v>1136</v>
      </c>
      <c r="C1629" s="871"/>
      <c r="D1629" s="871"/>
      <c r="E1629" s="871"/>
      <c r="F1629" s="871"/>
      <c r="G1629" s="871"/>
      <c r="H1629" s="872"/>
      <c r="I1629" s="782"/>
      <c r="J1629" s="781"/>
      <c r="K1629" s="782"/>
      <c r="L1629" s="781"/>
      <c r="M1629" s="782"/>
      <c r="N1629" s="781"/>
      <c r="O1629" s="782"/>
      <c r="P1629" s="781"/>
      <c r="Q1629" s="782"/>
      <c r="R1629" s="781"/>
    </row>
    <row r="1630" spans="1:19" s="716" customFormat="1" ht="12.6" customHeight="1" thickBot="1">
      <c r="A1630" s="715"/>
      <c r="B1630" s="766"/>
      <c r="C1630" s="766"/>
      <c r="D1630" s="766"/>
      <c r="E1630" s="554" t="s">
        <v>1137</v>
      </c>
      <c r="F1630" s="766"/>
      <c r="G1630" s="766"/>
      <c r="H1630" s="766"/>
      <c r="I1630" s="782"/>
      <c r="J1630" s="781"/>
      <c r="K1630" s="782"/>
      <c r="L1630" s="781"/>
      <c r="M1630" s="782"/>
      <c r="N1630" s="781"/>
      <c r="O1630" s="782"/>
      <c r="P1630" s="781"/>
      <c r="Q1630" s="782"/>
      <c r="R1630" s="781"/>
      <c r="S1630" s="739"/>
    </row>
    <row r="1631" spans="1:19" s="716" customFormat="1" ht="12.6" customHeight="1">
      <c r="A1631" s="715"/>
      <c r="B1631" s="766"/>
      <c r="C1631" s="766"/>
      <c r="D1631" s="766"/>
      <c r="E1631" s="766"/>
      <c r="F1631" s="766"/>
      <c r="G1631" s="766"/>
      <c r="H1631" s="766"/>
      <c r="I1631" s="782"/>
      <c r="J1631" s="781"/>
      <c r="K1631" s="782"/>
      <c r="L1631" s="781"/>
      <c r="M1631" s="782"/>
      <c r="N1631" s="781"/>
      <c r="O1631" s="782"/>
      <c r="P1631" s="781"/>
      <c r="Q1631" s="782"/>
      <c r="R1631" s="781"/>
      <c r="S1631" s="739"/>
    </row>
    <row r="1632" spans="1:19" s="26" customFormat="1">
      <c r="A1632" s="688"/>
      <c r="B1632" s="599"/>
      <c r="C1632" s="959"/>
      <c r="D1632" s="959"/>
      <c r="E1632" s="959"/>
      <c r="F1632" s="959"/>
      <c r="G1632" s="959"/>
      <c r="I1632" s="964"/>
      <c r="J1632" s="704"/>
      <c r="K1632" s="964"/>
      <c r="L1632" s="704"/>
      <c r="M1632" s="964"/>
      <c r="N1632" s="704"/>
      <c r="O1632" s="964"/>
      <c r="P1632" s="704"/>
      <c r="Q1632" s="964"/>
      <c r="R1632" s="704"/>
    </row>
    <row r="1633" spans="1:18" s="26" customFormat="1">
      <c r="A1633" s="688"/>
      <c r="B1633" s="599" t="str">
        <f>IF(E1630="Leave it","逆順母不同，以當行之母乘故分，…………………………………………………………………………………………………..","逆順母不同，以當行之（母）〔分〕乘故分，…………………………………………………………………………………………………..")</f>
        <v>逆順母不同，以當行之（母）〔分〕乘故分，…………………………………………………………………………………………………..</v>
      </c>
      <c r="C1633" s="959"/>
      <c r="D1633" s="959"/>
      <c r="E1633" s="959"/>
      <c r="F1633" s="959"/>
      <c r="G1633" s="959"/>
      <c r="I1633" s="964">
        <f>IF($E$1630="Leave it",J1615*J1613,J1624*I1613)</f>
        <v>5278.5</v>
      </c>
      <c r="J1633" s="704"/>
      <c r="K1633" s="964">
        <f>IF($E$1630="Leave it",L1615*L1613,L1624*K1613)</f>
        <v>29414</v>
      </c>
      <c r="L1633" s="704"/>
      <c r="M1633" s="964">
        <f>IF($E$1630="Leave it",N1615*N1613,N1624*M1613)</f>
        <v>0</v>
      </c>
      <c r="N1633" s="704"/>
      <c r="O1633" s="964">
        <f>IF($E$1630="Leave it",P1615*P1613,P1624*O1613)</f>
        <v>1195845</v>
      </c>
      <c r="P1633" s="704"/>
      <c r="Q1633" s="964">
        <f>IF($E$1630="Leave it",R1615*R1613,R1624*Q1613)</f>
        <v>-330897</v>
      </c>
      <c r="R1633" s="704"/>
    </row>
    <row r="1634" spans="1:18" s="26" customFormat="1">
      <c r="A1634" s="688"/>
      <c r="B1634" s="599" t="str">
        <f>IF(E1630="Leave it","如故母，如一也。…………………………………………………………………………………………………..","如故母，〔又〕如〔當行之母而〕一也。…………………………………………………………………………………………………..")</f>
        <v>如故母，〔又〕如〔當行之母而〕一也。…………………………………………………………………………………………………..</v>
      </c>
      <c r="C1634" s="959"/>
      <c r="D1634" s="959"/>
      <c r="E1634" s="959"/>
      <c r="F1634" s="959"/>
      <c r="G1634" s="959"/>
      <c r="I1634" s="964">
        <f>INT(I1633/木日度法)</f>
        <v>0</v>
      </c>
      <c r="J1634" s="704">
        <f>MOD(I1633,木日度法)</f>
        <v>5278.5</v>
      </c>
      <c r="K1634" s="964">
        <f>INT(K1633/火日度法)</f>
        <v>8</v>
      </c>
      <c r="L1634" s="704">
        <f>MOD(K1633,火日度法)</f>
        <v>1286</v>
      </c>
      <c r="M1634" s="964">
        <f>INT(M1633/土日度法)</f>
        <v>0</v>
      </c>
      <c r="N1634" s="704">
        <f>MOD(M1633,土日度法)</f>
        <v>0</v>
      </c>
      <c r="O1634" s="964">
        <f>INT(O1633/金日度法)</f>
        <v>51</v>
      </c>
      <c r="P1634" s="704">
        <f>MOD(O1633,金日度法)</f>
        <v>6525</v>
      </c>
      <c r="Q1634" s="964">
        <f>INT(Q1633/水日度法)</f>
        <v>-7</v>
      </c>
      <c r="R1634" s="704">
        <f>MOD(Q1633,水日度法)</f>
        <v>2527</v>
      </c>
    </row>
    <row r="1635" spans="1:18" s="26" customFormat="1">
      <c r="A1635" s="688"/>
      <c r="B1635" s="599"/>
      <c r="C1635" s="959"/>
      <c r="D1635" s="959"/>
      <c r="E1635" s="959"/>
      <c r="F1635" s="959"/>
      <c r="G1635" s="959"/>
      <c r="I1635" s="964">
        <f>IF($E$1630="Fix it",INT(I1634/J1613),"")</f>
        <v>0</v>
      </c>
      <c r="J1635" s="704">
        <f>IF($E$1630="Fix it",MOD(I1634,J1613),"")</f>
        <v>0</v>
      </c>
      <c r="K1635" s="964">
        <f t="shared" ref="K1635" si="284">IF($E$1630="Fix it",INT(K1634/L1613),"")</f>
        <v>0</v>
      </c>
      <c r="L1635" s="704">
        <f t="shared" ref="L1635:R1635" si="285">IF($E$1630="Fix it",MOD(K1634,L1613),"")</f>
        <v>8</v>
      </c>
      <c r="M1635" s="964">
        <f t="shared" ref="M1635" si="286">IF($E$1630="Fix it",INT(M1634/N1613),"")</f>
        <v>0</v>
      </c>
      <c r="N1635" s="704">
        <f t="shared" ref="N1635:R1635" si="287">IF($E$1630="Fix it",MOD(M1634,N1613),"")</f>
        <v>0</v>
      </c>
      <c r="O1635" s="964">
        <f t="shared" ref="O1635" si="288">IF($E$1630="Fix it",INT(O1634/P1613),"")</f>
        <v>0</v>
      </c>
      <c r="P1635" s="704">
        <f t="shared" ref="P1635:R1635" si="289">IF($E$1630="Fix it",MOD(O1634,P1613),"")</f>
        <v>51</v>
      </c>
      <c r="Q1635" s="964">
        <f t="shared" ref="Q1635" si="290">IF($E$1630="Fix it",INT(Q1634/R1613),"")</f>
        <v>-1</v>
      </c>
      <c r="R1635" s="704">
        <f t="shared" ref="R1635" si="291">IF($E$1630="Fix it",MOD(Q1634,R1613),"")</f>
        <v>2</v>
      </c>
    </row>
    <row r="1636" spans="1:18" s="26" customFormat="1">
      <c r="A1636" s="688"/>
      <c r="B1636" s="599"/>
      <c r="C1636" s="959"/>
      <c r="D1636" s="959"/>
      <c r="E1636" s="959"/>
      <c r="F1636" s="959"/>
      <c r="G1636" s="959"/>
      <c r="H1636" s="209" t="s">
        <v>958</v>
      </c>
      <c r="I1636" s="964">
        <f>INT(((I1622+I1627)*J1613+J1622+IF($E$1630="Fix it",I1635,0))/J1613)</f>
        <v>328</v>
      </c>
      <c r="J1636" s="704">
        <f>MOD(J1622+IF($E$1630="Fix it",I1635,0),J1613)</f>
        <v>36</v>
      </c>
      <c r="K1636" s="964">
        <f t="shared" ref="K1636" si="292">INT(((K1622+K1627)*L1613+L1622+IF($E$1630="Fix it",K1635,0))/L1613)</f>
        <v>188</v>
      </c>
      <c r="L1636" s="704">
        <f t="shared" ref="L1636:R1636" si="293">MOD(L1622+IF($E$1630="Fix it",K1635,0),L1613)</f>
        <v>21</v>
      </c>
      <c r="M1636" s="964">
        <f t="shared" ref="M1636" si="294">INT(((M1622+M1627)*N1613+N1622+IF($E$1630="Fix it",M1635,0))/N1613)</f>
        <v>1</v>
      </c>
      <c r="N1636" s="704">
        <f t="shared" ref="N1636:R1636" si="295">MOD(N1622+IF($E$1630="Fix it",M1635,0),N1613)</f>
        <v>4</v>
      </c>
      <c r="O1636" s="964">
        <f t="shared" ref="O1636" si="296">INT(((O1622+O1627)*P1613+P1622+IF($E$1630="Fix it",O1635,0))/P1613)</f>
        <v>222</v>
      </c>
      <c r="P1636" s="704">
        <f t="shared" ref="P1636:R1636" si="297">MOD(P1622+IF($E$1630="Fix it",O1635,0),P1613)</f>
        <v>11</v>
      </c>
      <c r="Q1636" s="964">
        <f t="shared" ref="Q1636" si="298">INT(((Q1622+Q1627)*R1613+R1622+IF($E$1630="Fix it",Q1635,0))/R1613)</f>
        <v>213</v>
      </c>
      <c r="R1636" s="704">
        <f t="shared" ref="R1636" si="299">MOD(R1622+IF($E$1630="Fix it",Q1635,0),R1613)</f>
        <v>3</v>
      </c>
    </row>
    <row r="1637" spans="1:18" s="26" customFormat="1">
      <c r="A1637" s="688"/>
      <c r="B1637" s="599"/>
      <c r="C1637" s="959"/>
      <c r="D1637" s="959"/>
      <c r="E1637" s="959"/>
      <c r="F1637" s="959"/>
      <c r="G1637" s="959"/>
      <c r="H1637" s="209"/>
      <c r="I1637" s="964"/>
      <c r="J1637" s="704"/>
      <c r="K1637" s="964"/>
      <c r="L1637" s="704"/>
      <c r="M1637" s="964"/>
      <c r="N1637" s="704"/>
      <c r="O1637" s="964"/>
      <c r="P1637" s="704"/>
      <c r="Q1637" s="964"/>
      <c r="R1637" s="704"/>
    </row>
    <row r="1638" spans="1:18" s="26" customFormat="1">
      <c r="A1638" s="688"/>
      <c r="B1638" s="599" t="s">
        <v>1134</v>
      </c>
      <c r="C1638" s="959"/>
      <c r="D1638" s="959"/>
      <c r="E1638" s="959"/>
      <c r="F1638" s="959"/>
      <c r="G1638" s="959"/>
      <c r="I1638" s="964"/>
      <c r="J1638" s="704"/>
      <c r="K1638" s="964"/>
      <c r="L1638" s="704"/>
      <c r="M1638" s="964"/>
      <c r="N1638" s="704"/>
      <c r="O1638" s="964"/>
      <c r="P1638" s="704"/>
      <c r="Q1638" s="964"/>
      <c r="R1638" s="704"/>
    </row>
    <row r="1639" spans="1:18" s="26" customFormat="1">
      <c r="A1639" s="688"/>
      <c r="B1639" s="599"/>
      <c r="C1639" s="959"/>
      <c r="D1639" s="959"/>
      <c r="E1639" s="959"/>
      <c r="F1639" s="959"/>
      <c r="G1639" s="959"/>
      <c r="I1639" s="964"/>
      <c r="J1639" s="704"/>
      <c r="K1639" s="964"/>
      <c r="L1639" s="704"/>
      <c r="M1639" s="964"/>
      <c r="N1639" s="704"/>
      <c r="O1639" s="964"/>
      <c r="P1639" s="704"/>
      <c r="Q1639" s="964"/>
      <c r="R1639" s="704"/>
    </row>
    <row r="1640" spans="1:18" s="26" customFormat="1">
      <c r="A1640" s="688"/>
      <c r="B1640" s="599" t="s">
        <v>1135</v>
      </c>
      <c r="C1640" s="959"/>
      <c r="D1640" s="959"/>
      <c r="E1640" s="959"/>
      <c r="F1640" s="959"/>
      <c r="G1640" s="959"/>
      <c r="I1640" s="842" t="str">
        <f>INDEX(lodge.names,MATCH((I1636*J1613+J1636)/J1613,lodge.dipper.du,1))</f>
        <v>房</v>
      </c>
      <c r="J1640" s="985"/>
      <c r="K1640" s="842" t="str">
        <f>INDEX(lodge.names,MATCH((K1636*L1613+L1636)/L1613,lodge.dipper.du,1))</f>
        <v>井</v>
      </c>
      <c r="L1640" s="985"/>
      <c r="M1640" s="842" t="str">
        <f>INDEX(lodge.names,MATCH((M1636*N1613+N1636)/N1613,lodge.dipper.du,1))</f>
        <v>斗</v>
      </c>
      <c r="N1640" s="985"/>
      <c r="O1640" s="842" t="str">
        <f>INDEX(lodge.names,MATCH((O1636*P1613+P1636)/P1613,lodge.dipper.du,1))</f>
        <v>柳</v>
      </c>
      <c r="P1640" s="985"/>
      <c r="Q1640" s="842" t="str">
        <f>INDEX(lodge.names,MATCH((Q1636*R1613+R1636)/R1613,lodge.dipper.du,1))</f>
        <v>鬼</v>
      </c>
      <c r="R1640" s="985"/>
    </row>
    <row r="1641" spans="1:18" s="26" customFormat="1">
      <c r="A1641" s="688"/>
      <c r="B1641" s="599"/>
      <c r="C1641" s="959"/>
      <c r="D1641" s="959"/>
      <c r="E1641" s="959"/>
      <c r="F1641" s="959"/>
      <c r="G1641" s="959"/>
      <c r="I1641" s="842">
        <f>INT(((I1636*J1613+J1636)-(INDEX(lodge.dipper.du,MATCH(I1640,lodge.names,0))*J1613))/J1613)</f>
        <v>2</v>
      </c>
      <c r="J1641" s="843">
        <f>MOD(((I1636*J1613+J1636)-(INDEX(lodge.dipper.du,MATCH(I1640,lodge.names,0))*J1613)),J1613)</f>
        <v>21.5</v>
      </c>
      <c r="K1641" s="842">
        <f>INT(((K1636*L1613+L1636)-(INDEX(lodge.dipper.du,MATCH(K1640,lodge.names,0))*L1613))/L1613)</f>
        <v>10</v>
      </c>
      <c r="L1641" s="843">
        <f>MOD(((K1636*L1613+L1636)-(INDEX(lodge.dipper.du,MATCH(K1640,lodge.names,0))*L1613)),L1613)</f>
        <v>15.25</v>
      </c>
      <c r="M1641" s="842">
        <f>INT(((M1636*N1613+N1636)-(INDEX(lodge.dipper.du,MATCH(M1640,lodge.names,0))*N1613))/N1613)</f>
        <v>1</v>
      </c>
      <c r="N1641" s="843">
        <f>MOD(((M1636*N1613+N1636)-(INDEX(lodge.dipper.du,MATCH(M1640,lodge.names,0))*N1613)),N1613)</f>
        <v>4</v>
      </c>
      <c r="O1641" s="842">
        <f>INT(((O1636*P1613+P1636)-(INDEX(lodge.dipper.du,MATCH(O1640,lodge.names,0))*P1613))/P1613)</f>
        <v>6</v>
      </c>
      <c r="P1641" s="843">
        <f>MOD(((O1636*P1613+P1636)-(INDEX(lodge.dipper.du,MATCH(O1640,lodge.names,0))*P1613)),P1613)</f>
        <v>79.25</v>
      </c>
      <c r="Q1641" s="842">
        <f>INT(((Q1636*R1613+R1636)-(INDEX(lodge.dipper.du,MATCH(Q1640,lodge.names,0))*R1613))/R1613)</f>
        <v>2</v>
      </c>
      <c r="R1641" s="843">
        <f>MOD(((Q1636*R1613+R1636)-(INDEX(lodge.dipper.du,MATCH(Q1640,lodge.names,0))*R1613)),R1613)</f>
        <v>0.75</v>
      </c>
    </row>
    <row r="1642" spans="1:18" s="26" customFormat="1">
      <c r="A1642" s="688"/>
      <c r="B1642" s="599"/>
      <c r="C1642" s="959"/>
      <c r="D1642" s="959"/>
      <c r="E1642" s="959"/>
      <c r="F1642" s="959"/>
      <c r="G1642" s="959"/>
      <c r="I1642" s="964"/>
      <c r="J1642" s="717"/>
      <c r="K1642" s="964"/>
      <c r="L1642" s="717"/>
      <c r="M1642" s="964"/>
      <c r="N1642" s="717"/>
      <c r="O1642" s="964"/>
      <c r="P1642" s="717"/>
      <c r="Q1642" s="964"/>
      <c r="R1642" s="717"/>
    </row>
    <row r="1643" spans="1:18" s="26" customFormat="1">
      <c r="A1643" s="688"/>
      <c r="B1643" s="599" t="s">
        <v>1138</v>
      </c>
      <c r="C1643" s="959"/>
      <c r="D1643" s="959"/>
      <c r="E1643" s="959"/>
      <c r="F1643" s="959"/>
      <c r="G1643" s="959"/>
      <c r="I1643" s="964">
        <f>INDEX(lodge.jintui,MATCH(I1640,lodge.names,0))</f>
        <v>-3</v>
      </c>
      <c r="J1643" s="717"/>
      <c r="K1643" s="964">
        <f>INDEX(lodge.jintui,MATCH(K1640,lodge.names,0))</f>
        <v>-3</v>
      </c>
      <c r="L1643" s="717"/>
      <c r="M1643" s="964">
        <f>INDEX(lodge.jintui,MATCH(M1640,lodge.names,0))</f>
        <v>-2</v>
      </c>
      <c r="N1643" s="717"/>
      <c r="O1643" s="964">
        <f>INDEX(lodge.jintui,MATCH(O1640,lodge.names,0))</f>
        <v>0</v>
      </c>
      <c r="P1643" s="717"/>
      <c r="Q1643" s="964">
        <f>INDEX(lodge.jintui,MATCH(Q1640,lodge.names,0))</f>
        <v>0</v>
      </c>
      <c r="R1643" s="717"/>
    </row>
    <row r="1644" spans="1:18" s="26" customFormat="1" ht="13.8" thickBot="1">
      <c r="A1644" s="688"/>
      <c r="B1644" s="599"/>
      <c r="C1644" s="959"/>
      <c r="D1644" s="959"/>
      <c r="E1644" s="959"/>
      <c r="F1644" s="959"/>
      <c r="G1644" s="959"/>
      <c r="I1644" s="964"/>
      <c r="J1644" s="717"/>
      <c r="K1644" s="964"/>
      <c r="L1644" s="717"/>
      <c r="M1644" s="964"/>
      <c r="N1644" s="717"/>
      <c r="O1644" s="964"/>
      <c r="P1644" s="717"/>
      <c r="Q1644" s="964"/>
      <c r="R1644" s="717"/>
    </row>
    <row r="1645" spans="1:18" s="3" customFormat="1" ht="26.4" thickTop="1" thickBot="1">
      <c r="A1645" s="2" t="s">
        <v>226</v>
      </c>
      <c r="B1645" s="3" t="s">
        <v>227</v>
      </c>
    </row>
    <row r="1646" spans="1:18" s="26" customFormat="1" ht="13.8" thickTop="1">
      <c r="A1646" s="45"/>
    </row>
    <row r="1647" spans="1:18" s="26" customFormat="1" ht="21">
      <c r="A1647" s="210" t="s">
        <v>228</v>
      </c>
    </row>
    <row r="1648" spans="1:18" s="26" customFormat="1">
      <c r="A1648" s="45"/>
      <c r="B1648" s="211" t="s">
        <v>1139</v>
      </c>
    </row>
    <row r="1649" spans="1:42" s="26" customFormat="1">
      <c r="A1649" s="45"/>
      <c r="B1649" s="46" t="s">
        <v>229</v>
      </c>
      <c r="C1649" s="46" t="s">
        <v>72</v>
      </c>
      <c r="D1649" s="46" t="s">
        <v>230</v>
      </c>
      <c r="E1649" s="46" t="s">
        <v>62</v>
      </c>
      <c r="F1649" s="46" t="s">
        <v>63</v>
      </c>
      <c r="G1649" s="46" t="s">
        <v>64</v>
      </c>
      <c r="H1649" s="46" t="s">
        <v>65</v>
      </c>
      <c r="I1649" s="46" t="s">
        <v>66</v>
      </c>
    </row>
    <row r="1650" spans="1:42" s="26" customFormat="1">
      <c r="A1650" s="45"/>
      <c r="B1650" s="46" t="s">
        <v>77</v>
      </c>
      <c r="C1650" s="46" t="s">
        <v>79</v>
      </c>
      <c r="D1650" s="46" t="s">
        <v>81</v>
      </c>
      <c r="E1650" s="46" t="s">
        <v>83</v>
      </c>
      <c r="F1650" s="46" t="s">
        <v>85</v>
      </c>
      <c r="G1650" s="46" t="s">
        <v>87</v>
      </c>
      <c r="H1650" s="46" t="s">
        <v>89</v>
      </c>
      <c r="I1650" s="46" t="s">
        <v>91</v>
      </c>
    </row>
    <row r="1651" spans="1:42" s="26" customFormat="1" ht="15.6">
      <c r="A1651" s="45"/>
      <c r="B1651" s="212"/>
      <c r="C1651" s="46" t="s">
        <v>67</v>
      </c>
      <c r="D1651" s="46" t="s">
        <v>68</v>
      </c>
      <c r="E1651" s="46" t="s">
        <v>69</v>
      </c>
      <c r="F1651" s="46" t="s">
        <v>70</v>
      </c>
      <c r="G1651" s="212"/>
      <c r="H1651" s="212"/>
      <c r="I1651" s="212"/>
    </row>
    <row r="1652" spans="1:42" s="26" customFormat="1" ht="15.6">
      <c r="A1652" s="45"/>
      <c r="B1652" s="212"/>
      <c r="C1652" s="46" t="s">
        <v>93</v>
      </c>
      <c r="D1652" s="46" t="s">
        <v>95</v>
      </c>
      <c r="E1652" s="46" t="s">
        <v>97</v>
      </c>
      <c r="F1652" s="211" t="s">
        <v>1140</v>
      </c>
      <c r="G1652" s="212"/>
      <c r="H1652" s="212"/>
      <c r="I1652" s="212"/>
      <c r="N1652"/>
      <c r="O1652"/>
      <c r="P1652"/>
      <c r="Q1652"/>
      <c r="R1652"/>
      <c r="S1652"/>
      <c r="T1652"/>
      <c r="U1652"/>
      <c r="V1652"/>
      <c r="W1652"/>
      <c r="X1652"/>
      <c r="Y1652"/>
      <c r="Z1652"/>
      <c r="AA1652"/>
      <c r="AB1652"/>
      <c r="AC1652"/>
      <c r="AD1652"/>
      <c r="AE1652"/>
      <c r="AF1652"/>
      <c r="AG1652"/>
      <c r="AH1652"/>
      <c r="AI1652"/>
      <c r="AJ1652"/>
      <c r="AK1652"/>
      <c r="AL1652"/>
      <c r="AM1652"/>
      <c r="AN1652"/>
      <c r="AO1652"/>
      <c r="AP1652"/>
    </row>
    <row r="1654" spans="1:42" ht="21">
      <c r="A1654" s="210" t="s">
        <v>231</v>
      </c>
    </row>
    <row r="1655" spans="1:42">
      <c r="B1655" s="211" t="s">
        <v>1143</v>
      </c>
      <c r="D1655" s="46" t="s">
        <v>232</v>
      </c>
      <c r="F1655" s="211" t="s">
        <v>1141</v>
      </c>
      <c r="H1655" s="211" t="s">
        <v>1142</v>
      </c>
    </row>
    <row r="1656" spans="1:42" ht="15.6">
      <c r="B1656" s="211" t="s">
        <v>1144</v>
      </c>
      <c r="D1656" s="211" t="s">
        <v>1145</v>
      </c>
      <c r="F1656" s="211" t="s">
        <v>1146</v>
      </c>
      <c r="H1656" s="212"/>
    </row>
    <row r="1657" spans="1:42">
      <c r="B1657" s="213" t="s">
        <v>233</v>
      </c>
      <c r="D1657" s="26"/>
      <c r="F1657" s="26"/>
      <c r="H1657" s="26"/>
    </row>
    <row r="1658" spans="1:42">
      <c r="B1658" s="46" t="s">
        <v>234</v>
      </c>
      <c r="D1658" s="211" t="s">
        <v>1147</v>
      </c>
      <c r="F1658" s="211" t="s">
        <v>1148</v>
      </c>
      <c r="H1658" s="211" t="s">
        <v>1149</v>
      </c>
    </row>
    <row r="1659" spans="1:42" ht="15.6">
      <c r="B1659" s="211" t="s">
        <v>1150</v>
      </c>
      <c r="D1659" s="211" t="s">
        <v>235</v>
      </c>
      <c r="F1659" s="211" t="s">
        <v>236</v>
      </c>
      <c r="H1659" s="212"/>
    </row>
    <row r="1660" spans="1:42">
      <c r="B1660" s="213" t="s">
        <v>237</v>
      </c>
    </row>
    <row r="1661" spans="1:42">
      <c r="B1661" s="211" t="s">
        <v>238</v>
      </c>
      <c r="D1661" s="46" t="s">
        <v>239</v>
      </c>
      <c r="F1661" s="46" t="s">
        <v>240</v>
      </c>
      <c r="H1661" s="211" t="s">
        <v>241</v>
      </c>
    </row>
    <row r="1662" spans="1:42" ht="15.6">
      <c r="B1662" s="211" t="s">
        <v>242</v>
      </c>
      <c r="D1662" s="211" t="s">
        <v>1151</v>
      </c>
      <c r="F1662" s="211" t="s">
        <v>243</v>
      </c>
      <c r="H1662" s="212"/>
    </row>
    <row r="1663" spans="1:42">
      <c r="B1663" s="213" t="s">
        <v>244</v>
      </c>
    </row>
    <row r="1664" spans="1:42">
      <c r="B1664" s="46" t="s">
        <v>245</v>
      </c>
      <c r="D1664" s="211" t="s">
        <v>246</v>
      </c>
      <c r="F1664" s="211" t="s">
        <v>247</v>
      </c>
      <c r="H1664" s="211" t="s">
        <v>248</v>
      </c>
    </row>
    <row r="1665" spans="1:9" ht="15.6">
      <c r="B1665" s="211" t="s">
        <v>249</v>
      </c>
      <c r="D1665" s="211" t="s">
        <v>1152</v>
      </c>
      <c r="F1665" s="211" t="s">
        <v>250</v>
      </c>
      <c r="H1665" s="212"/>
    </row>
    <row r="1666" spans="1:9">
      <c r="B1666" s="213" t="s">
        <v>251</v>
      </c>
    </row>
    <row r="1668" spans="1:9" ht="65.400000000000006" customHeight="1">
      <c r="B1668" s="986" t="s">
        <v>1153</v>
      </c>
      <c r="C1668" s="986"/>
      <c r="D1668" s="986"/>
      <c r="E1668" s="986"/>
      <c r="F1668" s="986"/>
      <c r="G1668" s="986"/>
    </row>
    <row r="1670" spans="1:9" ht="21">
      <c r="A1670" s="210" t="s">
        <v>252</v>
      </c>
    </row>
    <row r="1671" spans="1:9" ht="13.8" customHeight="1"/>
    <row r="1672" spans="1:9">
      <c r="B1672" s="214" t="s">
        <v>253</v>
      </c>
      <c r="C1672" s="214" t="s">
        <v>254</v>
      </c>
      <c r="D1672" s="214" t="s">
        <v>255</v>
      </c>
      <c r="E1672" s="214" t="s">
        <v>256</v>
      </c>
      <c r="F1672" s="214" t="s">
        <v>257</v>
      </c>
      <c r="G1672" s="214" t="s">
        <v>258</v>
      </c>
      <c r="H1672" s="215" t="s">
        <v>259</v>
      </c>
      <c r="I1672" s="214" t="s">
        <v>260</v>
      </c>
    </row>
    <row r="1673" spans="1:9">
      <c r="B1673" s="216" t="s">
        <v>1154</v>
      </c>
      <c r="C1673" s="216" t="s">
        <v>1155</v>
      </c>
      <c r="D1673" s="217" t="s">
        <v>261</v>
      </c>
      <c r="E1673" s="217" t="s">
        <v>262</v>
      </c>
      <c r="F1673" s="217" t="s">
        <v>263</v>
      </c>
      <c r="G1673" s="217" t="s">
        <v>264</v>
      </c>
      <c r="H1673" s="216" t="s">
        <v>265</v>
      </c>
      <c r="I1673" s="216" t="s">
        <v>266</v>
      </c>
    </row>
    <row r="1674" spans="1:9">
      <c r="B1674" s="217" t="s">
        <v>78</v>
      </c>
      <c r="C1674" s="216" t="s">
        <v>1156</v>
      </c>
      <c r="D1674" s="216" t="s">
        <v>267</v>
      </c>
      <c r="E1674" s="217" t="s">
        <v>268</v>
      </c>
      <c r="F1674" s="216" t="s">
        <v>269</v>
      </c>
      <c r="G1674" s="216" t="s">
        <v>270</v>
      </c>
      <c r="H1674" s="216" t="s">
        <v>271</v>
      </c>
      <c r="I1674" s="216" t="s">
        <v>272</v>
      </c>
    </row>
    <row r="1675" spans="1:9">
      <c r="B1675" s="217" t="s">
        <v>79</v>
      </c>
      <c r="C1675" s="216" t="s">
        <v>273</v>
      </c>
      <c r="D1675" s="216" t="s">
        <v>1169</v>
      </c>
      <c r="E1675" s="217" t="s">
        <v>274</v>
      </c>
      <c r="F1675" s="216" t="s">
        <v>275</v>
      </c>
      <c r="G1675" s="216" t="s">
        <v>276</v>
      </c>
      <c r="H1675" s="216" t="s">
        <v>277</v>
      </c>
      <c r="I1675" s="216" t="s">
        <v>278</v>
      </c>
    </row>
    <row r="1676" spans="1:9">
      <c r="B1676" s="217" t="s">
        <v>80</v>
      </c>
      <c r="C1676" s="216" t="s">
        <v>1157</v>
      </c>
      <c r="D1676" s="216" t="s">
        <v>1170</v>
      </c>
      <c r="E1676" s="217" t="s">
        <v>279</v>
      </c>
      <c r="F1676" s="216" t="s">
        <v>280</v>
      </c>
      <c r="G1676" s="216" t="s">
        <v>281</v>
      </c>
      <c r="H1676" s="216" t="s">
        <v>1175</v>
      </c>
      <c r="I1676" s="216" t="s">
        <v>282</v>
      </c>
    </row>
    <row r="1677" spans="1:9">
      <c r="B1677" s="217" t="s">
        <v>81</v>
      </c>
      <c r="C1677" s="216" t="s">
        <v>1158</v>
      </c>
      <c r="D1677" s="216" t="s">
        <v>283</v>
      </c>
      <c r="E1677" s="216" t="s">
        <v>284</v>
      </c>
      <c r="F1677" s="216" t="s">
        <v>285</v>
      </c>
      <c r="G1677" s="216" t="s">
        <v>286</v>
      </c>
      <c r="H1677" s="216" t="s">
        <v>287</v>
      </c>
      <c r="I1677" s="216" t="s">
        <v>1183</v>
      </c>
    </row>
    <row r="1678" spans="1:9">
      <c r="B1678" s="217" t="s">
        <v>82</v>
      </c>
      <c r="C1678" s="216" t="s">
        <v>288</v>
      </c>
      <c r="D1678" s="216" t="s">
        <v>289</v>
      </c>
      <c r="E1678" s="217" t="s">
        <v>290</v>
      </c>
      <c r="F1678" s="216" t="s">
        <v>291</v>
      </c>
      <c r="G1678" s="216" t="s">
        <v>292</v>
      </c>
      <c r="H1678" s="216" t="s">
        <v>293</v>
      </c>
      <c r="I1678" s="216" t="s">
        <v>294</v>
      </c>
    </row>
    <row r="1679" spans="1:9">
      <c r="B1679" s="217" t="s">
        <v>83</v>
      </c>
      <c r="C1679" s="216" t="s">
        <v>295</v>
      </c>
      <c r="D1679" s="216" t="s">
        <v>1171</v>
      </c>
      <c r="E1679" s="216" t="s">
        <v>296</v>
      </c>
      <c r="F1679" s="216" t="s">
        <v>297</v>
      </c>
      <c r="G1679" s="216" t="s">
        <v>298</v>
      </c>
      <c r="H1679" s="217" t="s">
        <v>239</v>
      </c>
      <c r="I1679" s="216" t="s">
        <v>1184</v>
      </c>
    </row>
    <row r="1680" spans="1:9">
      <c r="B1680" s="217" t="s">
        <v>84</v>
      </c>
      <c r="C1680" s="216" t="s">
        <v>1161</v>
      </c>
      <c r="D1680" s="216" t="s">
        <v>299</v>
      </c>
      <c r="E1680" s="216" t="s">
        <v>300</v>
      </c>
      <c r="F1680" s="216" t="s">
        <v>301</v>
      </c>
      <c r="G1680" s="216" t="s">
        <v>302</v>
      </c>
      <c r="H1680" s="216" t="s">
        <v>1176</v>
      </c>
      <c r="I1680" s="216" t="s">
        <v>303</v>
      </c>
    </row>
    <row r="1681" spans="2:9">
      <c r="B1681" s="217" t="s">
        <v>85</v>
      </c>
      <c r="C1681" s="216" t="s">
        <v>304</v>
      </c>
      <c r="D1681" s="216" t="s">
        <v>305</v>
      </c>
      <c r="E1681" s="217" t="s">
        <v>306</v>
      </c>
      <c r="F1681" s="216" t="s">
        <v>307</v>
      </c>
      <c r="G1681" s="216" t="s">
        <v>308</v>
      </c>
      <c r="H1681" s="216" t="s">
        <v>1177</v>
      </c>
      <c r="I1681" s="216" t="s">
        <v>309</v>
      </c>
    </row>
    <row r="1682" spans="2:9">
      <c r="B1682" s="217" t="s">
        <v>86</v>
      </c>
      <c r="C1682" s="216" t="s">
        <v>1160</v>
      </c>
      <c r="D1682" s="216" t="s">
        <v>310</v>
      </c>
      <c r="E1682" s="216" t="s">
        <v>311</v>
      </c>
      <c r="F1682" s="216" t="s">
        <v>312</v>
      </c>
      <c r="G1682" s="216" t="s">
        <v>313</v>
      </c>
      <c r="H1682" s="216" t="s">
        <v>314</v>
      </c>
      <c r="I1682" s="216" t="s">
        <v>1185</v>
      </c>
    </row>
    <row r="1683" spans="2:9">
      <c r="B1683" s="217" t="s">
        <v>87</v>
      </c>
      <c r="C1683" s="216" t="s">
        <v>315</v>
      </c>
      <c r="D1683" s="216" t="s">
        <v>316</v>
      </c>
      <c r="E1683" s="216" t="s">
        <v>317</v>
      </c>
      <c r="F1683" s="216" t="s">
        <v>318</v>
      </c>
      <c r="G1683" s="216" t="s">
        <v>319</v>
      </c>
      <c r="H1683" s="216" t="s">
        <v>1178</v>
      </c>
      <c r="I1683" s="216" t="s">
        <v>320</v>
      </c>
    </row>
    <row r="1684" spans="2:9">
      <c r="B1684" s="217" t="s">
        <v>88</v>
      </c>
      <c r="C1684" s="216" t="s">
        <v>321</v>
      </c>
      <c r="D1684" s="216" t="s">
        <v>322</v>
      </c>
      <c r="E1684" s="216" t="s">
        <v>323</v>
      </c>
      <c r="F1684" s="216" t="s">
        <v>324</v>
      </c>
      <c r="G1684" s="216" t="s">
        <v>325</v>
      </c>
      <c r="H1684" s="216" t="s">
        <v>326</v>
      </c>
      <c r="I1684" s="216" t="s">
        <v>327</v>
      </c>
    </row>
    <row r="1685" spans="2:9">
      <c r="B1685" s="216" t="s">
        <v>1159</v>
      </c>
      <c r="C1685" s="216" t="s">
        <v>328</v>
      </c>
      <c r="D1685" s="216" t="s">
        <v>329</v>
      </c>
      <c r="E1685" s="217" t="s">
        <v>330</v>
      </c>
      <c r="F1685" s="217" t="s">
        <v>331</v>
      </c>
      <c r="G1685" s="217" t="s">
        <v>332</v>
      </c>
      <c r="H1685" s="216" t="s">
        <v>333</v>
      </c>
      <c r="I1685" s="216" t="s">
        <v>1186</v>
      </c>
    </row>
    <row r="1686" spans="2:9">
      <c r="B1686" s="217" t="s">
        <v>90</v>
      </c>
      <c r="C1686" s="216" t="s">
        <v>334</v>
      </c>
      <c r="D1686" s="216" t="s">
        <v>335</v>
      </c>
      <c r="E1686" s="217" t="s">
        <v>336</v>
      </c>
      <c r="F1686" s="216" t="s">
        <v>337</v>
      </c>
      <c r="G1686" s="216" t="s">
        <v>338</v>
      </c>
      <c r="H1686" s="216" t="s">
        <v>339</v>
      </c>
      <c r="I1686" s="216" t="s">
        <v>340</v>
      </c>
    </row>
    <row r="1687" spans="2:9">
      <c r="B1687" s="217" t="s">
        <v>91</v>
      </c>
      <c r="C1687" s="216" t="s">
        <v>1162</v>
      </c>
      <c r="D1687" s="217" t="s">
        <v>341</v>
      </c>
      <c r="E1687" s="217" t="s">
        <v>342</v>
      </c>
      <c r="F1687" s="216" t="s">
        <v>343</v>
      </c>
      <c r="G1687" s="216" t="s">
        <v>344</v>
      </c>
      <c r="H1687" s="216" t="s">
        <v>345</v>
      </c>
      <c r="I1687" s="216" t="s">
        <v>346</v>
      </c>
    </row>
    <row r="1688" spans="2:9">
      <c r="B1688" s="217" t="s">
        <v>92</v>
      </c>
      <c r="C1688" s="216" t="s">
        <v>347</v>
      </c>
      <c r="D1688" s="216" t="s">
        <v>348</v>
      </c>
      <c r="E1688" s="216" t="s">
        <v>349</v>
      </c>
      <c r="F1688" s="216" t="s">
        <v>350</v>
      </c>
      <c r="G1688" s="216" t="s">
        <v>351</v>
      </c>
      <c r="H1688" s="216" t="s">
        <v>352</v>
      </c>
      <c r="I1688" s="216" t="s">
        <v>1187</v>
      </c>
    </row>
    <row r="1689" spans="2:9">
      <c r="B1689" s="217" t="s">
        <v>93</v>
      </c>
      <c r="C1689" s="216" t="s">
        <v>1163</v>
      </c>
      <c r="D1689" s="216" t="s">
        <v>353</v>
      </c>
      <c r="E1689" s="216" t="s">
        <v>354</v>
      </c>
      <c r="F1689" s="216" t="s">
        <v>355</v>
      </c>
      <c r="G1689" s="216" t="s">
        <v>356</v>
      </c>
      <c r="H1689" s="216" t="s">
        <v>1179</v>
      </c>
      <c r="I1689" s="216" t="s">
        <v>357</v>
      </c>
    </row>
    <row r="1690" spans="2:9">
      <c r="B1690" s="217" t="s">
        <v>94</v>
      </c>
      <c r="C1690" s="216" t="s">
        <v>1164</v>
      </c>
      <c r="D1690" s="216" t="s">
        <v>358</v>
      </c>
      <c r="E1690" s="216" t="s">
        <v>359</v>
      </c>
      <c r="F1690" s="216" t="s">
        <v>360</v>
      </c>
      <c r="G1690" s="216" t="s">
        <v>361</v>
      </c>
      <c r="H1690" s="216" t="s">
        <v>1180</v>
      </c>
      <c r="I1690" s="216" t="s">
        <v>362</v>
      </c>
    </row>
    <row r="1691" spans="2:9">
      <c r="B1691" s="217" t="s">
        <v>95</v>
      </c>
      <c r="C1691" s="216" t="s">
        <v>363</v>
      </c>
      <c r="D1691" s="216" t="s">
        <v>364</v>
      </c>
      <c r="E1691" s="217" t="s">
        <v>365</v>
      </c>
      <c r="F1691" s="216" t="s">
        <v>366</v>
      </c>
      <c r="G1691" s="216" t="s">
        <v>367</v>
      </c>
      <c r="H1691" s="216" t="s">
        <v>368</v>
      </c>
      <c r="I1691" s="216" t="s">
        <v>369</v>
      </c>
    </row>
    <row r="1692" spans="2:9">
      <c r="B1692" s="217" t="s">
        <v>96</v>
      </c>
      <c r="C1692" s="216" t="s">
        <v>1165</v>
      </c>
      <c r="D1692" s="216" t="s">
        <v>1172</v>
      </c>
      <c r="E1692" s="216" t="s">
        <v>370</v>
      </c>
      <c r="F1692" s="216" t="s">
        <v>371</v>
      </c>
      <c r="G1692" s="216" t="s">
        <v>372</v>
      </c>
      <c r="H1692" s="216" t="s">
        <v>373</v>
      </c>
      <c r="I1692" s="216" t="s">
        <v>374</v>
      </c>
    </row>
    <row r="1693" spans="2:9">
      <c r="B1693" s="217" t="s">
        <v>97</v>
      </c>
      <c r="C1693" s="216" t="s">
        <v>1166</v>
      </c>
      <c r="D1693" s="216" t="s">
        <v>375</v>
      </c>
      <c r="E1693" s="217" t="s">
        <v>376</v>
      </c>
      <c r="F1693" s="216" t="s">
        <v>377</v>
      </c>
      <c r="G1693" s="216" t="s">
        <v>378</v>
      </c>
      <c r="H1693" s="216" t="s">
        <v>1181</v>
      </c>
      <c r="I1693" s="216" t="s">
        <v>379</v>
      </c>
    </row>
    <row r="1694" spans="2:9">
      <c r="B1694" s="217" t="s">
        <v>74</v>
      </c>
      <c r="C1694" s="216" t="s">
        <v>1167</v>
      </c>
      <c r="D1694" s="216" t="s">
        <v>380</v>
      </c>
      <c r="E1694" s="216" t="s">
        <v>1173</v>
      </c>
      <c r="F1694" s="216" t="s">
        <v>382</v>
      </c>
      <c r="G1694" s="216" t="s">
        <v>383</v>
      </c>
      <c r="H1694" s="216" t="s">
        <v>384</v>
      </c>
      <c r="I1694" s="216" t="s">
        <v>1188</v>
      </c>
    </row>
    <row r="1695" spans="2:9">
      <c r="B1695" s="217" t="s">
        <v>75</v>
      </c>
      <c r="C1695" s="216" t="s">
        <v>385</v>
      </c>
      <c r="D1695" s="216" t="s">
        <v>386</v>
      </c>
      <c r="E1695" s="217" t="s">
        <v>387</v>
      </c>
      <c r="F1695" s="216" t="s">
        <v>292</v>
      </c>
      <c r="G1695" s="216" t="s">
        <v>291</v>
      </c>
      <c r="H1695" s="216" t="s">
        <v>1182</v>
      </c>
      <c r="I1695" s="216" t="s">
        <v>388</v>
      </c>
    </row>
    <row r="1696" spans="2:9">
      <c r="B1696" s="217" t="s">
        <v>76</v>
      </c>
      <c r="C1696" s="216" t="s">
        <v>1168</v>
      </c>
      <c r="D1696" s="216" t="s">
        <v>389</v>
      </c>
      <c r="E1696" s="216" t="s">
        <v>1174</v>
      </c>
      <c r="F1696" s="216" t="s">
        <v>391</v>
      </c>
      <c r="G1696" s="216" t="s">
        <v>392</v>
      </c>
      <c r="H1696" s="216" t="s">
        <v>393</v>
      </c>
      <c r="I1696" s="216" t="s">
        <v>1189</v>
      </c>
    </row>
    <row r="1698" spans="2:7" ht="55.2" customHeight="1">
      <c r="B1698" s="987" t="s">
        <v>1190</v>
      </c>
      <c r="C1698" s="987"/>
      <c r="D1698" s="987"/>
      <c r="E1698" s="987"/>
      <c r="F1698" s="987"/>
      <c r="G1698" s="987"/>
    </row>
    <row r="1700" spans="2:7" ht="147.6" customHeight="1">
      <c r="B1700" s="987" t="s">
        <v>1191</v>
      </c>
      <c r="C1700" s="987"/>
      <c r="D1700" s="987"/>
      <c r="E1700" s="987"/>
      <c r="F1700" s="987"/>
      <c r="G1700" s="987"/>
    </row>
    <row r="1702" spans="2:7" ht="13.2" customHeight="1">
      <c r="B1702" s="887" t="s">
        <v>394</v>
      </c>
      <c r="C1702" s="887"/>
      <c r="D1702" s="887"/>
      <c r="E1702" s="887"/>
      <c r="F1702" s="887"/>
      <c r="G1702" s="887"/>
    </row>
  </sheetData>
  <sheetProtection selectLockedCells="1" selectUnlockedCells="1"/>
  <mergeCells count="194">
    <mergeCell ref="K1590:L1590"/>
    <mergeCell ref="M1590:N1590"/>
    <mergeCell ref="O1590:P1590"/>
    <mergeCell ref="Q1590:R1590"/>
    <mergeCell ref="I1599:J1599"/>
    <mergeCell ref="K1599:L1599"/>
    <mergeCell ref="M1599:N1599"/>
    <mergeCell ref="O1599:P1599"/>
    <mergeCell ref="Q1599:R1599"/>
    <mergeCell ref="B1231:H1231"/>
    <mergeCell ref="B1237:H1237"/>
    <mergeCell ref="D1239:E1239"/>
    <mergeCell ref="I1246:J1246"/>
    <mergeCell ref="B1532:G1532"/>
    <mergeCell ref="B1530:G1530"/>
    <mergeCell ref="B1185:G1185"/>
    <mergeCell ref="I1387:J1387"/>
    <mergeCell ref="B1402:H1402"/>
    <mergeCell ref="H1498:I1498"/>
    <mergeCell ref="B1514:G1514"/>
    <mergeCell ref="I1416:J1416"/>
    <mergeCell ref="B1468:H1468"/>
    <mergeCell ref="B173:G173"/>
    <mergeCell ref="D175:E175"/>
    <mergeCell ref="B942:G942"/>
    <mergeCell ref="B956:G956"/>
    <mergeCell ref="B1016:G1016"/>
    <mergeCell ref="B1035:G1035"/>
    <mergeCell ref="B1036:G1036"/>
    <mergeCell ref="B1045:G1045"/>
    <mergeCell ref="B1020:G1020"/>
    <mergeCell ref="B886:G886"/>
    <mergeCell ref="B258:I258"/>
    <mergeCell ref="B272:H272"/>
    <mergeCell ref="B410:G410"/>
    <mergeCell ref="B437:I437"/>
    <mergeCell ref="B140:I140"/>
    <mergeCell ref="B911:G911"/>
    <mergeCell ref="B862:G862"/>
    <mergeCell ref="B867:G867"/>
    <mergeCell ref="B1263:H1263"/>
    <mergeCell ref="B444:I444"/>
    <mergeCell ref="B767:G767"/>
    <mergeCell ref="B877:G877"/>
    <mergeCell ref="B821:G821"/>
    <mergeCell ref="B826:G826"/>
    <mergeCell ref="B830:G830"/>
    <mergeCell ref="B838:G838"/>
    <mergeCell ref="B849:G849"/>
    <mergeCell ref="B856:G856"/>
    <mergeCell ref="B810:G810"/>
    <mergeCell ref="B925:G925"/>
    <mergeCell ref="B1084:G1084"/>
    <mergeCell ref="I1223:J1223"/>
    <mergeCell ref="I1233:J1233"/>
    <mergeCell ref="B1085:I1085"/>
    <mergeCell ref="C1086:I1086"/>
    <mergeCell ref="C1087:I1087"/>
    <mergeCell ref="C1093:I1093"/>
    <mergeCell ref="C1099:I1099"/>
    <mergeCell ref="B8:H8"/>
    <mergeCell ref="B21:H21"/>
    <mergeCell ref="B10:I10"/>
    <mergeCell ref="B12:I12"/>
    <mergeCell ref="B23:I23"/>
    <mergeCell ref="B27:I27"/>
    <mergeCell ref="B43:I43"/>
    <mergeCell ref="B38:I38"/>
    <mergeCell ref="C44:I44"/>
    <mergeCell ref="B16:I16"/>
    <mergeCell ref="B39:I39"/>
    <mergeCell ref="B40:I40"/>
    <mergeCell ref="B41:I41"/>
    <mergeCell ref="C45:I45"/>
    <mergeCell ref="C50:I50"/>
    <mergeCell ref="C55:I55"/>
    <mergeCell ref="C112:I112"/>
    <mergeCell ref="C59:I59"/>
    <mergeCell ref="C61:I61"/>
    <mergeCell ref="C66:I66"/>
    <mergeCell ref="B715:G715"/>
    <mergeCell ref="B326:G326"/>
    <mergeCell ref="B330:G330"/>
    <mergeCell ref="C141:I141"/>
    <mergeCell ref="B138:I138"/>
    <mergeCell ref="C143:I143"/>
    <mergeCell ref="C70:I70"/>
    <mergeCell ref="C80:I80"/>
    <mergeCell ref="C84:I84"/>
    <mergeCell ref="C90:I90"/>
    <mergeCell ref="C98:I98"/>
    <mergeCell ref="B332:G332"/>
    <mergeCell ref="B336:G336"/>
    <mergeCell ref="B328:G328"/>
    <mergeCell ref="C104:I104"/>
    <mergeCell ref="C110:I110"/>
    <mergeCell ref="C116:I116"/>
    <mergeCell ref="M1198:N1198"/>
    <mergeCell ref="O1198:P1198"/>
    <mergeCell ref="Q1198:R1198"/>
    <mergeCell ref="S1208:V1210"/>
    <mergeCell ref="I1198:J1198"/>
    <mergeCell ref="K1198:L1198"/>
    <mergeCell ref="M1177:N1177"/>
    <mergeCell ref="O1177:P1177"/>
    <mergeCell ref="Q1177:R1177"/>
    <mergeCell ref="I1177:J1177"/>
    <mergeCell ref="K1177:L1177"/>
    <mergeCell ref="O1186:P1186"/>
    <mergeCell ref="Q1186:R1186"/>
    <mergeCell ref="I1186:J1186"/>
    <mergeCell ref="K1186:L1186"/>
    <mergeCell ref="M1186:N1186"/>
    <mergeCell ref="B1180:I1180"/>
    <mergeCell ref="D1182:E1182"/>
    <mergeCell ref="K1223:L1223"/>
    <mergeCell ref="M1223:N1223"/>
    <mergeCell ref="O1223:P1223"/>
    <mergeCell ref="Q1223:R1223"/>
    <mergeCell ref="I1216:J1216"/>
    <mergeCell ref="K1216:L1216"/>
    <mergeCell ref="M1216:N1216"/>
    <mergeCell ref="O1216:P1216"/>
    <mergeCell ref="Q1216:R1216"/>
    <mergeCell ref="Q1233:R1233"/>
    <mergeCell ref="K1246:L1246"/>
    <mergeCell ref="M1246:N1246"/>
    <mergeCell ref="O1246:P1246"/>
    <mergeCell ref="Q1246:R1246"/>
    <mergeCell ref="B1279:H1279"/>
    <mergeCell ref="B1323:H1323"/>
    <mergeCell ref="I1321:J1321"/>
    <mergeCell ref="K1321:L1321"/>
    <mergeCell ref="M1321:N1321"/>
    <mergeCell ref="O1321:P1321"/>
    <mergeCell ref="Q1321:R1321"/>
    <mergeCell ref="B1308:H1308"/>
    <mergeCell ref="K1233:L1233"/>
    <mergeCell ref="M1233:N1233"/>
    <mergeCell ref="O1233:P1233"/>
    <mergeCell ref="B1289:H1289"/>
    <mergeCell ref="B1248:H1248"/>
    <mergeCell ref="B1478:G1478"/>
    <mergeCell ref="D1516:E1516"/>
    <mergeCell ref="F1516:G1516"/>
    <mergeCell ref="H1516:I1516"/>
    <mergeCell ref="D1480:E1480"/>
    <mergeCell ref="F1480:G1480"/>
    <mergeCell ref="H1480:I1480"/>
    <mergeCell ref="K1416:L1416"/>
    <mergeCell ref="M1416:N1416"/>
    <mergeCell ref="O1416:P1416"/>
    <mergeCell ref="F1419:G1419"/>
    <mergeCell ref="E1424:H1424"/>
    <mergeCell ref="G1429:H1429"/>
    <mergeCell ref="B1496:G1496"/>
    <mergeCell ref="D1498:E1498"/>
    <mergeCell ref="F1498:G1498"/>
    <mergeCell ref="C1455:D1455"/>
    <mergeCell ref="G1431:H1431"/>
    <mergeCell ref="B1582:H1582"/>
    <mergeCell ref="B1700:G1700"/>
    <mergeCell ref="B1702:G1702"/>
    <mergeCell ref="B1668:G1668"/>
    <mergeCell ref="B1698:G1698"/>
    <mergeCell ref="D1534:E1534"/>
    <mergeCell ref="F1534:G1534"/>
    <mergeCell ref="H1534:I1534"/>
    <mergeCell ref="B1556:G1556"/>
    <mergeCell ref="B1558:G1558"/>
    <mergeCell ref="D1560:E1560"/>
    <mergeCell ref="F1560:G1560"/>
    <mergeCell ref="H1560:I1560"/>
    <mergeCell ref="F1584:G1584"/>
    <mergeCell ref="I1590:J1590"/>
    <mergeCell ref="B1605:H1605"/>
    <mergeCell ref="B1629:H1629"/>
    <mergeCell ref="Q1416:R1416"/>
    <mergeCell ref="B1418:H1418"/>
    <mergeCell ref="I1328:J1328"/>
    <mergeCell ref="B1342:H1342"/>
    <mergeCell ref="B1355:H1355"/>
    <mergeCell ref="C1311:D1311"/>
    <mergeCell ref="D1325:E1325"/>
    <mergeCell ref="I1391:J1391"/>
    <mergeCell ref="K1391:L1391"/>
    <mergeCell ref="M1391:N1391"/>
    <mergeCell ref="O1391:P1391"/>
    <mergeCell ref="Q1391:R1391"/>
    <mergeCell ref="B1393:H1393"/>
    <mergeCell ref="Q1387:R1387"/>
    <mergeCell ref="K1387:L1387"/>
    <mergeCell ref="M1387:N1387"/>
    <mergeCell ref="O1387:P1387"/>
  </mergeCells>
  <conditionalFormatting sqref="G486">
    <cfRule type="expression" dxfId="225" priority="316">
      <formula>$I$487&lt;0</formula>
    </cfRule>
  </conditionalFormatting>
  <conditionalFormatting sqref="H486:J486">
    <cfRule type="expression" dxfId="224" priority="315">
      <formula>$I$487&lt;0</formula>
    </cfRule>
  </conditionalFormatting>
  <conditionalFormatting sqref="H487:J487">
    <cfRule type="expression" dxfId="223" priority="314">
      <formula>"and($I$434&gt;1;$I$435&lt;1)"</formula>
    </cfRule>
  </conditionalFormatting>
  <conditionalFormatting sqref="G487:J487 I673:J673 I761:J761">
    <cfRule type="expression" dxfId="222" priority="313">
      <formula>AND($I$487&gt;1,$I$488&lt;1)</formula>
    </cfRule>
  </conditionalFormatting>
  <conditionalFormatting sqref="G488:J488 F503 I674:J674 I762:J762 J927 L1040 J1041 J1059:J1060 J1065 J1062">
    <cfRule type="expression" dxfId="221" priority="312">
      <formula>$I$488&gt;1</formula>
    </cfRule>
  </conditionalFormatting>
  <conditionalFormatting sqref="F497:F500">
    <cfRule type="expression" dxfId="220" priority="309">
      <formula>$I$488&gt;1</formula>
    </cfRule>
  </conditionalFormatting>
  <conditionalFormatting sqref="F496">
    <cfRule type="expression" dxfId="219" priority="310">
      <formula>$I$488&gt;1</formula>
    </cfRule>
  </conditionalFormatting>
  <conditionalFormatting sqref="D503:F503 D497:F500">
    <cfRule type="expression" dxfId="218" priority="308">
      <formula>AND($E497&gt;=0,$E498&lt;0)</formula>
    </cfRule>
  </conditionalFormatting>
  <conditionalFormatting sqref="F584">
    <cfRule type="expression" dxfId="217" priority="264">
      <formula>$I$488&gt;1</formula>
    </cfRule>
  </conditionalFormatting>
  <conditionalFormatting sqref="F505">
    <cfRule type="expression" dxfId="216" priority="307">
      <formula>$I$488&gt;1</formula>
    </cfRule>
  </conditionalFormatting>
  <conditionalFormatting sqref="D507:E509 E506">
    <cfRule type="expression" dxfId="215" priority="305">
      <formula>AND($E506&gt;0,$E507&lt;0)</formula>
    </cfRule>
  </conditionalFormatting>
  <conditionalFormatting sqref="F514">
    <cfRule type="expression" dxfId="214" priority="302">
      <formula>$I$488&gt;1</formula>
    </cfRule>
  </conditionalFormatting>
  <conditionalFormatting sqref="F521">
    <cfRule type="expression" dxfId="213" priority="299">
      <formula>$I$488&gt;1</formula>
    </cfRule>
  </conditionalFormatting>
  <conditionalFormatting sqref="D521:F521">
    <cfRule type="expression" dxfId="212" priority="298">
      <formula>AND($E521&gt;0,$E522&lt;0)</formula>
    </cfRule>
  </conditionalFormatting>
  <conditionalFormatting sqref="F523">
    <cfRule type="expression" dxfId="211" priority="297">
      <formula>$I$488&gt;1</formula>
    </cfRule>
  </conditionalFormatting>
  <conditionalFormatting sqref="F530">
    <cfRule type="expression" dxfId="210" priority="294">
      <formula>$I$488&gt;1</formula>
    </cfRule>
  </conditionalFormatting>
  <conditionalFormatting sqref="D530:F530">
    <cfRule type="expression" dxfId="209" priority="293">
      <formula>AND($E530&gt;0,$E531&lt;0)</formula>
    </cfRule>
  </conditionalFormatting>
  <conditionalFormatting sqref="F532">
    <cfRule type="expression" dxfId="208" priority="292">
      <formula>$I$488&gt;1</formula>
    </cfRule>
  </conditionalFormatting>
  <conditionalFormatting sqref="F539">
    <cfRule type="expression" dxfId="207" priority="289">
      <formula>$I$488&gt;1</formula>
    </cfRule>
  </conditionalFormatting>
  <conditionalFormatting sqref="D539:F539">
    <cfRule type="expression" dxfId="206" priority="288">
      <formula>AND($E539&gt;0,$E540&lt;0)</formula>
    </cfRule>
  </conditionalFormatting>
  <conditionalFormatting sqref="F541">
    <cfRule type="expression" dxfId="205" priority="287">
      <formula>$I$488&gt;1</formula>
    </cfRule>
  </conditionalFormatting>
  <conditionalFormatting sqref="D525:E527 E524">
    <cfRule type="expression" dxfId="204" priority="234">
      <formula>AND($E524&gt;0,$E525&lt;0)</formula>
    </cfRule>
  </conditionalFormatting>
  <conditionalFormatting sqref="F548">
    <cfRule type="expression" dxfId="203" priority="284">
      <formula>$I$488&gt;1</formula>
    </cfRule>
  </conditionalFormatting>
  <conditionalFormatting sqref="D548:F548">
    <cfRule type="expression" dxfId="202" priority="283">
      <formula>AND($E548&gt;0,$E549&lt;0)</formula>
    </cfRule>
  </conditionalFormatting>
  <conditionalFormatting sqref="F550">
    <cfRule type="expression" dxfId="201" priority="282">
      <formula>$I$488&gt;1</formula>
    </cfRule>
  </conditionalFormatting>
  <conditionalFormatting sqref="F557">
    <cfRule type="expression" dxfId="200" priority="279">
      <formula>$I$488&gt;1</formula>
    </cfRule>
  </conditionalFormatting>
  <conditionalFormatting sqref="D557:F557">
    <cfRule type="expression" dxfId="199" priority="278">
      <formula>AND($E557&gt;0,$E558&lt;0)</formula>
    </cfRule>
  </conditionalFormatting>
  <conditionalFormatting sqref="F559">
    <cfRule type="expression" dxfId="198" priority="277">
      <formula>$I$488&gt;1</formula>
    </cfRule>
  </conditionalFormatting>
  <conditionalFormatting sqref="F566">
    <cfRule type="expression" dxfId="197" priority="274">
      <formula>$I$488&gt;1</formula>
    </cfRule>
  </conditionalFormatting>
  <conditionalFormatting sqref="D566:F566">
    <cfRule type="expression" dxfId="196" priority="273">
      <formula>AND($E566&gt;0,$E567&lt;0)</formula>
    </cfRule>
  </conditionalFormatting>
  <conditionalFormatting sqref="F568">
    <cfRule type="expression" dxfId="195" priority="272">
      <formula>$I$488&gt;1</formula>
    </cfRule>
  </conditionalFormatting>
  <conditionalFormatting sqref="F575">
    <cfRule type="expression" dxfId="194" priority="269">
      <formula>$I$488&gt;1</formula>
    </cfRule>
  </conditionalFormatting>
  <conditionalFormatting sqref="D575:F575">
    <cfRule type="expression" dxfId="193" priority="268">
      <formula>AND($E575&gt;0,$E576&lt;0)</formula>
    </cfRule>
  </conditionalFormatting>
  <conditionalFormatting sqref="F622">
    <cfRule type="expression" dxfId="192" priority="242">
      <formula>$I$488&gt;1</formula>
    </cfRule>
  </conditionalFormatting>
  <conditionalFormatting sqref="F577">
    <cfRule type="expression" dxfId="191" priority="267">
      <formula>$I$488&gt;1</formula>
    </cfRule>
  </conditionalFormatting>
  <conditionalFormatting sqref="D584:F584">
    <cfRule type="expression" dxfId="190" priority="263">
      <formula>AND($E584&gt;0,$E585&lt;0)</formula>
    </cfRule>
  </conditionalFormatting>
  <conditionalFormatting sqref="F586">
    <cfRule type="expression" dxfId="189" priority="262">
      <formula>$I$488&gt;1</formula>
    </cfRule>
  </conditionalFormatting>
  <conditionalFormatting sqref="F593">
    <cfRule type="expression" dxfId="188" priority="259">
      <formula>$I$488&gt;1</formula>
    </cfRule>
  </conditionalFormatting>
  <conditionalFormatting sqref="D593:F593">
    <cfRule type="expression" dxfId="187" priority="258">
      <formula>AND($E593&gt;0,$E594&lt;0)</formula>
    </cfRule>
  </conditionalFormatting>
  <conditionalFormatting sqref="F595">
    <cfRule type="expression" dxfId="186" priority="257">
      <formula>$I$488&gt;1</formula>
    </cfRule>
  </conditionalFormatting>
  <conditionalFormatting sqref="F602">
    <cfRule type="expression" dxfId="185" priority="254">
      <formula>$I$488&gt;1</formula>
    </cfRule>
  </conditionalFormatting>
  <conditionalFormatting sqref="D602:F602">
    <cfRule type="expression" dxfId="184" priority="253">
      <formula>AND($E602&gt;0,$E603&lt;0)</formula>
    </cfRule>
  </conditionalFormatting>
  <conditionalFormatting sqref="F604">
    <cfRule type="expression" dxfId="183" priority="252">
      <formula>$I$488&gt;1</formula>
    </cfRule>
  </conditionalFormatting>
  <conditionalFormatting sqref="F611">
    <cfRule type="expression" dxfId="182" priority="249">
      <formula>$I$488&gt;1</formula>
    </cfRule>
  </conditionalFormatting>
  <conditionalFormatting sqref="D611:F611">
    <cfRule type="expression" dxfId="181" priority="248">
      <formula>AND($E611&gt;0,$E612&lt;0)</formula>
    </cfRule>
  </conditionalFormatting>
  <conditionalFormatting sqref="F613">
    <cfRule type="expression" dxfId="180" priority="247">
      <formula>$I$488&gt;1</formula>
    </cfRule>
  </conditionalFormatting>
  <conditionalFormatting sqref="D516:E518 E515">
    <cfRule type="expression" dxfId="179" priority="237">
      <formula>AND($E515&gt;0,$E516&lt;0)</formula>
    </cfRule>
  </conditionalFormatting>
  <conditionalFormatting sqref="F620">
    <cfRule type="expression" dxfId="178" priority="244">
      <formula>$I$488&gt;1</formula>
    </cfRule>
  </conditionalFormatting>
  <conditionalFormatting sqref="D620:F620">
    <cfRule type="expression" dxfId="177" priority="243">
      <formula>AND($E620&gt;0,$E621&lt;0)</formula>
    </cfRule>
  </conditionalFormatting>
  <conditionalFormatting sqref="D506:E509">
    <cfRule type="expression" dxfId="176" priority="239">
      <formula>AND($E506&gt;=0,$E507&lt;0)</formula>
    </cfRule>
  </conditionalFormatting>
  <conditionalFormatting sqref="D515:E518">
    <cfRule type="expression" dxfId="175" priority="236">
      <formula>AND($E515&gt;=0,$E516&lt;0)</formula>
    </cfRule>
  </conditionalFormatting>
  <conditionalFormatting sqref="D524:E527">
    <cfRule type="expression" dxfId="174" priority="233">
      <formula>AND($E524&gt;=0,$E525&lt;0)</formula>
    </cfRule>
  </conditionalFormatting>
  <conditionalFormatting sqref="F587:F590">
    <cfRule type="expression" dxfId="173" priority="196">
      <formula>$I$488&gt;1</formula>
    </cfRule>
  </conditionalFormatting>
  <conditionalFormatting sqref="D534:E536 E533">
    <cfRule type="expression" dxfId="172" priority="231">
      <formula>AND($E533&gt;0,$E534&lt;0)</formula>
    </cfRule>
  </conditionalFormatting>
  <conditionalFormatting sqref="D533:E536">
    <cfRule type="expression" dxfId="171" priority="230">
      <formula>AND($E533&gt;=0,$E534&lt;0)</formula>
    </cfRule>
  </conditionalFormatting>
  <conditionalFormatting sqref="D543:E545 E542">
    <cfRule type="expression" dxfId="170" priority="228">
      <formula>AND($E542&gt;0,$E543&lt;0)</formula>
    </cfRule>
  </conditionalFormatting>
  <conditionalFormatting sqref="D542:E545">
    <cfRule type="expression" dxfId="169" priority="227">
      <formula>AND($E542&gt;=0,$E543&lt;0)</formula>
    </cfRule>
  </conditionalFormatting>
  <conditionalFormatting sqref="D552:E554 E551">
    <cfRule type="expression" dxfId="168" priority="225">
      <formula>AND($E551&gt;0,$E552&lt;0)</formula>
    </cfRule>
  </conditionalFormatting>
  <conditionalFormatting sqref="D551:E554">
    <cfRule type="expression" dxfId="167" priority="224">
      <formula>AND($E551&gt;=0,$E552&lt;0)</formula>
    </cfRule>
  </conditionalFormatting>
  <conditionalFormatting sqref="D561:E563 E560">
    <cfRule type="expression" dxfId="166" priority="222">
      <formula>AND($E560&gt;0,$E561&lt;0)</formula>
    </cfRule>
  </conditionalFormatting>
  <conditionalFormatting sqref="D560:E563">
    <cfRule type="expression" dxfId="165" priority="221">
      <formula>AND($E560&gt;=0,$E561&lt;0)</formula>
    </cfRule>
  </conditionalFormatting>
  <conditionalFormatting sqref="F506:F509">
    <cfRule type="expression" dxfId="164" priority="220">
      <formula>$I$488&gt;1</formula>
    </cfRule>
  </conditionalFormatting>
  <conditionalFormatting sqref="F506:F509">
    <cfRule type="expression" dxfId="163" priority="219">
      <formula>AND($E506&gt;=0,$E507&lt;0)</formula>
    </cfRule>
  </conditionalFormatting>
  <conditionalFormatting sqref="F515:F518">
    <cfRule type="expression" dxfId="162" priority="218">
      <formula>$I$488&gt;1</formula>
    </cfRule>
  </conditionalFormatting>
  <conditionalFormatting sqref="F515:F518">
    <cfRule type="expression" dxfId="161" priority="217">
      <formula>AND($E515&gt;=0,$E516&lt;0)</formula>
    </cfRule>
  </conditionalFormatting>
  <conditionalFormatting sqref="F524:F527">
    <cfRule type="expression" dxfId="160" priority="216">
      <formula>$I$488&gt;1</formula>
    </cfRule>
  </conditionalFormatting>
  <conditionalFormatting sqref="F524:F527">
    <cfRule type="expression" dxfId="159" priority="215">
      <formula>AND($E524&gt;=0,$E525&lt;0)</formula>
    </cfRule>
  </conditionalFormatting>
  <conditionalFormatting sqref="F533:F536">
    <cfRule type="expression" dxfId="158" priority="214">
      <formula>$I$488&gt;1</formula>
    </cfRule>
  </conditionalFormatting>
  <conditionalFormatting sqref="F533:F536">
    <cfRule type="expression" dxfId="157" priority="213">
      <formula>AND($E533&gt;=0,$E534&lt;0)</formula>
    </cfRule>
  </conditionalFormatting>
  <conditionalFormatting sqref="F542:F545">
    <cfRule type="expression" dxfId="156" priority="212">
      <formula>$I$488&gt;1</formula>
    </cfRule>
  </conditionalFormatting>
  <conditionalFormatting sqref="F542:F545">
    <cfRule type="expression" dxfId="155" priority="211">
      <formula>AND($E542&gt;=0,$E543&lt;0)</formula>
    </cfRule>
  </conditionalFormatting>
  <conditionalFormatting sqref="F551:F554">
    <cfRule type="expression" dxfId="154" priority="210">
      <formula>$I$488&gt;1</formula>
    </cfRule>
  </conditionalFormatting>
  <conditionalFormatting sqref="F551:F554">
    <cfRule type="expression" dxfId="153" priority="209">
      <formula>AND($E551&gt;=0,$E552&lt;0)</formula>
    </cfRule>
  </conditionalFormatting>
  <conditionalFormatting sqref="F560:F563">
    <cfRule type="expression" dxfId="152" priority="208">
      <formula>$I$488&gt;1</formula>
    </cfRule>
  </conditionalFormatting>
  <conditionalFormatting sqref="F560:F563">
    <cfRule type="expression" dxfId="151" priority="207">
      <formula>AND($E560&gt;=0,$E561&lt;0)</formula>
    </cfRule>
  </conditionalFormatting>
  <conditionalFormatting sqref="D570:E572 E569">
    <cfRule type="expression" dxfId="150" priority="206">
      <formula>AND($E569&gt;0,$E570&lt;0)</formula>
    </cfRule>
  </conditionalFormatting>
  <conditionalFormatting sqref="D569:E572">
    <cfRule type="expression" dxfId="149" priority="205">
      <formula>AND($E569&gt;=0,$E570&lt;0)</formula>
    </cfRule>
  </conditionalFormatting>
  <conditionalFormatting sqref="F569:F572">
    <cfRule type="expression" dxfId="148" priority="204">
      <formula>$I$488&gt;1</formula>
    </cfRule>
  </conditionalFormatting>
  <conditionalFormatting sqref="F569:F572">
    <cfRule type="expression" dxfId="147" priority="203">
      <formula>AND($E569&gt;=0,$E570&lt;0)</formula>
    </cfRule>
  </conditionalFormatting>
  <conditionalFormatting sqref="D579:E581 E578">
    <cfRule type="expression" dxfId="146" priority="202">
      <formula>AND($E578&gt;0,$E579&lt;0)</formula>
    </cfRule>
  </conditionalFormatting>
  <conditionalFormatting sqref="D578:E581">
    <cfRule type="expression" dxfId="145" priority="201">
      <formula>AND($E578&gt;=0,$E579&lt;0)</formula>
    </cfRule>
  </conditionalFormatting>
  <conditionalFormatting sqref="F578:F581">
    <cfRule type="expression" dxfId="144" priority="200">
      <formula>$I$488&gt;1</formula>
    </cfRule>
  </conditionalFormatting>
  <conditionalFormatting sqref="F578:F581">
    <cfRule type="expression" dxfId="143" priority="199">
      <formula>AND($E578&gt;=0,$E579&lt;0)</formula>
    </cfRule>
  </conditionalFormatting>
  <conditionalFormatting sqref="D588:E590 E587">
    <cfRule type="expression" dxfId="142" priority="198">
      <formula>AND($E587&gt;0,$E588&lt;0)</formula>
    </cfRule>
  </conditionalFormatting>
  <conditionalFormatting sqref="D587:E590">
    <cfRule type="expression" dxfId="141" priority="197">
      <formula>AND($E587&gt;=0,$E588&lt;0)</formula>
    </cfRule>
  </conditionalFormatting>
  <conditionalFormatting sqref="F587:F590">
    <cfRule type="expression" dxfId="140" priority="195">
      <formula>AND($E587&gt;=0,$E588&lt;0)</formula>
    </cfRule>
  </conditionalFormatting>
  <conditionalFormatting sqref="D597:E599 E596">
    <cfRule type="expression" dxfId="139" priority="194">
      <formula>AND($E596&gt;0,$E597&lt;0)</formula>
    </cfRule>
  </conditionalFormatting>
  <conditionalFormatting sqref="D596:E599">
    <cfRule type="expression" dxfId="138" priority="193">
      <formula>AND($E596&gt;=0,$E597&lt;0)</formula>
    </cfRule>
  </conditionalFormatting>
  <conditionalFormatting sqref="F596:F599">
    <cfRule type="expression" dxfId="137" priority="192">
      <formula>$I$488&gt;1</formula>
    </cfRule>
  </conditionalFormatting>
  <conditionalFormatting sqref="F596:F599">
    <cfRule type="expression" dxfId="136" priority="191">
      <formula>AND($E596&gt;=0,$E597&lt;0)</formula>
    </cfRule>
  </conditionalFormatting>
  <conditionalFormatting sqref="D606:E608 E605">
    <cfRule type="expression" dxfId="135" priority="190">
      <formula>AND($E605&gt;0,$E606&lt;0)</formula>
    </cfRule>
  </conditionalFormatting>
  <conditionalFormatting sqref="D605:E608">
    <cfRule type="expression" dxfId="134" priority="189">
      <formula>AND($E605&gt;=0,$E606&lt;0)</formula>
    </cfRule>
  </conditionalFormatting>
  <conditionalFormatting sqref="F605:F608">
    <cfRule type="expression" dxfId="133" priority="188">
      <formula>$I$488&gt;1</formula>
    </cfRule>
  </conditionalFormatting>
  <conditionalFormatting sqref="F605:F608">
    <cfRule type="expression" dxfId="132" priority="187">
      <formula>AND($E605&gt;=0,$E606&lt;0)</formula>
    </cfRule>
  </conditionalFormatting>
  <conditionalFormatting sqref="D615:E617 E614">
    <cfRule type="expression" dxfId="131" priority="186">
      <formula>AND($E614&gt;0,$E615&lt;0)</formula>
    </cfRule>
  </conditionalFormatting>
  <conditionalFormatting sqref="D614:E617">
    <cfRule type="expression" dxfId="130" priority="185">
      <formula>AND($E614&gt;=0,$E615&lt;0)</formula>
    </cfRule>
  </conditionalFormatting>
  <conditionalFormatting sqref="F614:F617">
    <cfRule type="expression" dxfId="129" priority="184">
      <formula>$I$488&gt;1</formula>
    </cfRule>
  </conditionalFormatting>
  <conditionalFormatting sqref="F614:F617">
    <cfRule type="expression" dxfId="128" priority="183">
      <formula>AND($E614&gt;=0,$E615&lt;0)</formula>
    </cfRule>
  </conditionalFormatting>
  <conditionalFormatting sqref="D624:E626 E623">
    <cfRule type="expression" dxfId="127" priority="182">
      <formula>AND($E623&gt;0,$E624&lt;0)</formula>
    </cfRule>
  </conditionalFormatting>
  <conditionalFormatting sqref="D623:E626">
    <cfRule type="expression" dxfId="126" priority="181">
      <formula>AND($E623&gt;=0,$E624&lt;0)</formula>
    </cfRule>
  </conditionalFormatting>
  <conditionalFormatting sqref="F623:F626">
    <cfRule type="expression" dxfId="125" priority="180">
      <formula>$I$488&gt;1</formula>
    </cfRule>
  </conditionalFormatting>
  <conditionalFormatting sqref="F623:F626">
    <cfRule type="expression" dxfId="124" priority="179">
      <formula>AND($E623&gt;=0,$E624&lt;0)</formula>
    </cfRule>
  </conditionalFormatting>
  <conditionalFormatting sqref="G672">
    <cfRule type="expression" dxfId="123" priority="178">
      <formula>$I$487&lt;0</formula>
    </cfRule>
  </conditionalFormatting>
  <conditionalFormatting sqref="I672:J672">
    <cfRule type="expression" dxfId="122" priority="177">
      <formula>$I$487&lt;0</formula>
    </cfRule>
  </conditionalFormatting>
  <conditionalFormatting sqref="I673:J673">
    <cfRule type="expression" dxfId="121" priority="176">
      <formula>"and($I$434&gt;1;$I$435&lt;1)"</formula>
    </cfRule>
  </conditionalFormatting>
  <conditionalFormatting sqref="G673">
    <cfRule type="expression" dxfId="120" priority="175">
      <formula>AND($I$487&gt;1,$I$488&lt;1)</formula>
    </cfRule>
  </conditionalFormatting>
  <conditionalFormatting sqref="G674">
    <cfRule type="expression" dxfId="119" priority="174">
      <formula>$I$488&gt;1</formula>
    </cfRule>
  </conditionalFormatting>
  <conditionalFormatting sqref="H672">
    <cfRule type="expression" dxfId="118" priority="173">
      <formula>$I$487&lt;0</formula>
    </cfRule>
  </conditionalFormatting>
  <conditionalFormatting sqref="H673">
    <cfRule type="expression" dxfId="117" priority="172">
      <formula>"and($I$434&gt;1;$I$435&lt;1)"</formula>
    </cfRule>
  </conditionalFormatting>
  <conditionalFormatting sqref="H673">
    <cfRule type="expression" dxfId="116" priority="171">
      <formula>AND($I$487&gt;1,$I$488&lt;1)</formula>
    </cfRule>
  </conditionalFormatting>
  <conditionalFormatting sqref="H674">
    <cfRule type="expression" dxfId="115" priority="170">
      <formula>$I$488&gt;1</formula>
    </cfRule>
  </conditionalFormatting>
  <conditionalFormatting sqref="G762">
    <cfRule type="expression" dxfId="114" priority="160">
      <formula>$I$488&gt;1</formula>
    </cfRule>
  </conditionalFormatting>
  <conditionalFormatting sqref="G760">
    <cfRule type="expression" dxfId="113" priority="164">
      <formula>$I$487&lt;0</formula>
    </cfRule>
  </conditionalFormatting>
  <conditionalFormatting sqref="I760:J760">
    <cfRule type="expression" dxfId="112" priority="163">
      <formula>$I$487&lt;0</formula>
    </cfRule>
  </conditionalFormatting>
  <conditionalFormatting sqref="I761:J761">
    <cfRule type="expression" dxfId="111" priority="162">
      <formula>"and($I$434&gt;1;$I$435&lt;1)"</formula>
    </cfRule>
  </conditionalFormatting>
  <conditionalFormatting sqref="G761">
    <cfRule type="expression" dxfId="110" priority="161">
      <formula>AND($I$487&gt;1,$I$488&lt;1)</formula>
    </cfRule>
  </conditionalFormatting>
  <conditionalFormatting sqref="H760">
    <cfRule type="expression" dxfId="109" priority="159">
      <formula>$I$487&lt;0</formula>
    </cfRule>
  </conditionalFormatting>
  <conditionalFormatting sqref="H761">
    <cfRule type="expression" dxfId="108" priority="158">
      <formula>"and($I$434&gt;1;$I$435&lt;1)"</formula>
    </cfRule>
  </conditionalFormatting>
  <conditionalFormatting sqref="H761">
    <cfRule type="expression" dxfId="107" priority="157">
      <formula>AND($I$487&gt;1,$I$488&lt;1)</formula>
    </cfRule>
  </conditionalFormatting>
  <conditionalFormatting sqref="H762">
    <cfRule type="expression" dxfId="106" priority="156">
      <formula>$I$488&gt;1</formula>
    </cfRule>
  </conditionalFormatting>
  <conditionalFormatting sqref="F512">
    <cfRule type="expression" dxfId="105" priority="155">
      <formula>$I$488&gt;1</formula>
    </cfRule>
  </conditionalFormatting>
  <conditionalFormatting sqref="D512:F512">
    <cfRule type="expression" dxfId="104" priority="154">
      <formula>AND($E512&gt;=0,$E513&lt;0)</formula>
    </cfRule>
  </conditionalFormatting>
  <conditionalFormatting sqref="F840">
    <cfRule type="expression" dxfId="103" priority="153">
      <formula>$I$488&gt;1</formula>
    </cfRule>
  </conditionalFormatting>
  <conditionalFormatting sqref="F842">
    <cfRule type="expression" dxfId="102" priority="144">
      <formula>$I$488&gt;1</formula>
    </cfRule>
  </conditionalFormatting>
  <conditionalFormatting sqref="J844">
    <cfRule type="expression" dxfId="101" priority="140">
      <formula>$I$488&gt;1</formula>
    </cfRule>
  </conditionalFormatting>
  <conditionalFormatting sqref="I844">
    <cfRule type="expression" dxfId="100" priority="142">
      <formula>AND($E844&gt;0,$E845&lt;0)</formula>
    </cfRule>
  </conditionalFormatting>
  <conditionalFormatting sqref="I844">
    <cfRule type="expression" dxfId="99" priority="141">
      <formula>AND($E844&gt;=0,$E845&lt;0)</formula>
    </cfRule>
  </conditionalFormatting>
  <conditionalFormatting sqref="J844">
    <cfRule type="expression" dxfId="98" priority="139">
      <formula>AND($E844&gt;=0,$E845&lt;0)</formula>
    </cfRule>
  </conditionalFormatting>
  <conditionalFormatting sqref="J851">
    <cfRule type="expression" dxfId="97" priority="129">
      <formula>$I$488&gt;1</formula>
    </cfRule>
  </conditionalFormatting>
  <conditionalFormatting sqref="I851">
    <cfRule type="expression" dxfId="96" priority="321">
      <formula>AND($E851&gt;0,#REF!&lt;0)</formula>
    </cfRule>
  </conditionalFormatting>
  <conditionalFormatting sqref="I851:J851">
    <cfRule type="expression" dxfId="95" priority="322">
      <formula>AND($E851&gt;=0,#REF!&lt;0)</formula>
    </cfRule>
  </conditionalFormatting>
  <conditionalFormatting sqref="J859">
    <cfRule type="expression" dxfId="94" priority="125">
      <formula>$I$488&gt;1</formula>
    </cfRule>
  </conditionalFormatting>
  <conditionalFormatting sqref="I859">
    <cfRule type="expression" dxfId="93" priority="126">
      <formula>AND($E859&gt;0,#REF!&lt;0)</formula>
    </cfRule>
  </conditionalFormatting>
  <conditionalFormatting sqref="I859:J859">
    <cfRule type="expression" dxfId="92" priority="127">
      <formula>AND($E859&gt;=0,#REF!&lt;0)</formula>
    </cfRule>
  </conditionalFormatting>
  <conditionalFormatting sqref="J860">
    <cfRule type="expression" dxfId="91" priority="122">
      <formula>$I$488&gt;1</formula>
    </cfRule>
  </conditionalFormatting>
  <conditionalFormatting sqref="I860">
    <cfRule type="expression" dxfId="90" priority="123">
      <formula>AND($E860&gt;0,#REF!&lt;0)</formula>
    </cfRule>
  </conditionalFormatting>
  <conditionalFormatting sqref="I860:J860 I927:J927">
    <cfRule type="expression" dxfId="89" priority="124">
      <formula>AND($E860&gt;=0,#REF!&lt;0)</formula>
    </cfRule>
  </conditionalFormatting>
  <conditionalFormatting sqref="F864">
    <cfRule type="expression" dxfId="88" priority="119">
      <formula>$I$488&gt;1</formula>
    </cfRule>
  </conditionalFormatting>
  <conditionalFormatting sqref="D864:F864">
    <cfRule type="expression" dxfId="87" priority="118">
      <formula>AND($E864&gt;0,$E865&lt;0)</formula>
    </cfRule>
  </conditionalFormatting>
  <conditionalFormatting sqref="D840:F840">
    <cfRule type="expression" dxfId="86" priority="323">
      <formula>AND($E840&gt;0,$E842&lt;0)</formula>
    </cfRule>
  </conditionalFormatting>
  <conditionalFormatting sqref="C840">
    <cfRule type="expression" dxfId="85" priority="113">
      <formula>AND($E840&gt;0,$E842&lt;0)</formula>
    </cfRule>
  </conditionalFormatting>
  <conditionalFormatting sqref="F841">
    <cfRule type="expression" dxfId="84" priority="112">
      <formula>$I$488&gt;1</formula>
    </cfRule>
  </conditionalFormatting>
  <conditionalFormatting sqref="E841">
    <cfRule type="expression" dxfId="83" priority="110">
      <formula>AND($E841&gt;0,$J842&lt;0)</formula>
    </cfRule>
  </conditionalFormatting>
  <conditionalFormatting sqref="E841:F841">
    <cfRule type="expression" dxfId="82" priority="111">
      <formula>AND($E841&gt;=0,$J842&lt;0)</formula>
    </cfRule>
  </conditionalFormatting>
  <conditionalFormatting sqref="E842 E865">
    <cfRule type="expression" dxfId="81" priority="324">
      <formula>AND($E842&gt;0,#REF!&lt;0)</formula>
    </cfRule>
  </conditionalFormatting>
  <conditionalFormatting sqref="E842:F842 E865:F865">
    <cfRule type="expression" dxfId="80" priority="325">
      <formula>AND($E842&gt;=0,#REF!&lt;0)</formula>
    </cfRule>
  </conditionalFormatting>
  <conditionalFormatting sqref="F865">
    <cfRule type="expression" dxfId="79" priority="109">
      <formula>$I$488&gt;1</formula>
    </cfRule>
  </conditionalFormatting>
  <conditionalFormatting sqref="J872">
    <cfRule type="expression" dxfId="78" priority="104">
      <formula>$I$488&gt;1</formula>
    </cfRule>
  </conditionalFormatting>
  <conditionalFormatting sqref="I872 I927">
    <cfRule type="expression" dxfId="77" priority="105">
      <formula>AND($E872&gt;0,#REF!&lt;0)</formula>
    </cfRule>
  </conditionalFormatting>
  <conditionalFormatting sqref="I872:J872">
    <cfRule type="expression" dxfId="76" priority="106">
      <formula>AND($E872&gt;=0,#REF!&lt;0)</formula>
    </cfRule>
  </conditionalFormatting>
  <conditionalFormatting sqref="J879">
    <cfRule type="expression" dxfId="75" priority="101">
      <formula>$I$488&gt;1</formula>
    </cfRule>
  </conditionalFormatting>
  <conditionalFormatting sqref="I879">
    <cfRule type="expression" dxfId="74" priority="102">
      <formula>AND($E879&gt;0,#REF!&lt;0)</formula>
    </cfRule>
  </conditionalFormatting>
  <conditionalFormatting sqref="I879:J879">
    <cfRule type="expression" dxfId="73" priority="103">
      <formula>AND($E879&gt;=0,#REF!&lt;0)</formula>
    </cfRule>
  </conditionalFormatting>
  <conditionalFormatting sqref="J881">
    <cfRule type="expression" dxfId="72" priority="98">
      <formula>$I$488&gt;1</formula>
    </cfRule>
  </conditionalFormatting>
  <conditionalFormatting sqref="I881">
    <cfRule type="expression" dxfId="71" priority="99">
      <formula>AND($E881&gt;0,#REF!&lt;0)</formula>
    </cfRule>
  </conditionalFormatting>
  <conditionalFormatting sqref="I881:J881">
    <cfRule type="expression" dxfId="70" priority="100">
      <formula>AND($E881&gt;=0,#REF!&lt;0)</formula>
    </cfRule>
  </conditionalFormatting>
  <conditionalFormatting sqref="J884">
    <cfRule type="expression" dxfId="69" priority="95">
      <formula>$I$488&gt;1</formula>
    </cfRule>
  </conditionalFormatting>
  <conditionalFormatting sqref="I884">
    <cfRule type="expression" dxfId="68" priority="96">
      <formula>AND($E884&gt;0,#REF!&lt;0)</formula>
    </cfRule>
  </conditionalFormatting>
  <conditionalFormatting sqref="I884:J884">
    <cfRule type="expression" dxfId="67" priority="97">
      <formula>AND($E884&gt;=0,#REF!&lt;0)</formula>
    </cfRule>
  </conditionalFormatting>
  <conditionalFormatting sqref="J891">
    <cfRule type="expression" dxfId="66" priority="92">
      <formula>$I$488&gt;1</formula>
    </cfRule>
  </conditionalFormatting>
  <conditionalFormatting sqref="I891">
    <cfRule type="expression" dxfId="65" priority="93">
      <formula>AND($E891&gt;0,#REF!&lt;0)</formula>
    </cfRule>
  </conditionalFormatting>
  <conditionalFormatting sqref="I891:J891">
    <cfRule type="expression" dxfId="64" priority="94">
      <formula>AND($E891&gt;=0,#REF!&lt;0)</formula>
    </cfRule>
  </conditionalFormatting>
  <conditionalFormatting sqref="J894:J895">
    <cfRule type="expression" dxfId="63" priority="89">
      <formula>$I$488&gt;1</formula>
    </cfRule>
  </conditionalFormatting>
  <conditionalFormatting sqref="I894:I895">
    <cfRule type="expression" dxfId="62" priority="90">
      <formula>AND($E894&gt;0,#REF!&lt;0)</formula>
    </cfRule>
  </conditionalFormatting>
  <conditionalFormatting sqref="I894:J895">
    <cfRule type="expression" dxfId="61" priority="91">
      <formula>AND($E894&gt;=0,#REF!&lt;0)</formula>
    </cfRule>
  </conditionalFormatting>
  <conditionalFormatting sqref="J898">
    <cfRule type="expression" dxfId="60" priority="86">
      <formula>$I$488&gt;1</formula>
    </cfRule>
  </conditionalFormatting>
  <conditionalFormatting sqref="I898">
    <cfRule type="expression" dxfId="59" priority="87">
      <formula>AND($E898&gt;0,#REF!&lt;0)</formula>
    </cfRule>
  </conditionalFormatting>
  <conditionalFormatting sqref="I898:J898">
    <cfRule type="expression" dxfId="58" priority="88">
      <formula>AND($E898&gt;=0,#REF!&lt;0)</formula>
    </cfRule>
  </conditionalFormatting>
  <conditionalFormatting sqref="J900">
    <cfRule type="expression" dxfId="57" priority="81">
      <formula>$I$488&gt;1</formula>
    </cfRule>
  </conditionalFormatting>
  <conditionalFormatting sqref="I900">
    <cfRule type="expression" dxfId="56" priority="84">
      <formula>AND($E900&gt;0,#REF!&lt;0)</formula>
    </cfRule>
  </conditionalFormatting>
  <conditionalFormatting sqref="I900">
    <cfRule type="expression" dxfId="55" priority="85">
      <formula>AND($E900&gt;=0,#REF!&lt;0)</formula>
    </cfRule>
  </conditionalFormatting>
  <conditionalFormatting sqref="J900">
    <cfRule type="expression" dxfId="54" priority="82">
      <formula>AND($E900&gt;=0,#REF!&lt;0)</formula>
    </cfRule>
  </conditionalFormatting>
  <conditionalFormatting sqref="J903:J904">
    <cfRule type="expression" dxfId="53" priority="78">
      <formula>$I$488&gt;1</formula>
    </cfRule>
  </conditionalFormatting>
  <conditionalFormatting sqref="I903:I904">
    <cfRule type="expression" dxfId="52" priority="79">
      <formula>AND($E903&gt;0,#REF!&lt;0)</formula>
    </cfRule>
  </conditionalFormatting>
  <conditionalFormatting sqref="I903:J904">
    <cfRule type="expression" dxfId="51" priority="80">
      <formula>AND($E903&gt;=0,#REF!&lt;0)</formula>
    </cfRule>
  </conditionalFormatting>
  <conditionalFormatting sqref="J917">
    <cfRule type="expression" dxfId="50" priority="75">
      <formula>$I$488&gt;1</formula>
    </cfRule>
  </conditionalFormatting>
  <conditionalFormatting sqref="I917">
    <cfRule type="expression" dxfId="49" priority="76">
      <formula>AND($E917&gt;0,#REF!&lt;0)</formula>
    </cfRule>
  </conditionalFormatting>
  <conditionalFormatting sqref="I917:J917">
    <cfRule type="expression" dxfId="48" priority="77">
      <formula>AND($E917&gt;=0,#REF!&lt;0)</formula>
    </cfRule>
  </conditionalFormatting>
  <conditionalFormatting sqref="J920">
    <cfRule type="expression" dxfId="47" priority="72">
      <formula>$I$488&gt;1</formula>
    </cfRule>
  </conditionalFormatting>
  <conditionalFormatting sqref="I920">
    <cfRule type="expression" dxfId="46" priority="73">
      <formula>AND($E920&gt;0,#REF!&lt;0)</formula>
    </cfRule>
  </conditionalFormatting>
  <conditionalFormatting sqref="I920:J920">
    <cfRule type="expression" dxfId="45" priority="74">
      <formula>AND($E920&gt;=0,#REF!&lt;0)</formula>
    </cfRule>
  </conditionalFormatting>
  <conditionalFormatting sqref="J922">
    <cfRule type="expression" dxfId="44" priority="69">
      <formula>$I$488&gt;1</formula>
    </cfRule>
  </conditionalFormatting>
  <conditionalFormatting sqref="I922">
    <cfRule type="expression" dxfId="43" priority="70">
      <formula>AND(#REF!&gt;0,#REF!&lt;0)</formula>
    </cfRule>
  </conditionalFormatting>
  <conditionalFormatting sqref="I922:J922">
    <cfRule type="expression" dxfId="42" priority="71">
      <formula>AND(#REF!&gt;=0,#REF!&lt;0)</formula>
    </cfRule>
  </conditionalFormatting>
  <conditionalFormatting sqref="J923">
    <cfRule type="expression" dxfId="41" priority="67">
      <formula>$I$488&gt;1</formula>
    </cfRule>
  </conditionalFormatting>
  <conditionalFormatting sqref="J923 J1041 L1040 J1059:J1060">
    <cfRule type="expression" dxfId="40" priority="68">
      <formula>AND($E922&gt;=0,#REF!&lt;0)</formula>
    </cfRule>
  </conditionalFormatting>
  <conditionalFormatting sqref="J933">
    <cfRule type="expression" dxfId="39" priority="61">
      <formula>$I$488&gt;1</formula>
    </cfRule>
  </conditionalFormatting>
  <conditionalFormatting sqref="I933">
    <cfRule type="expression" dxfId="38" priority="62">
      <formula>AND($E932&gt;0,#REF!&lt;0)</formula>
    </cfRule>
  </conditionalFormatting>
  <conditionalFormatting sqref="I933:J933">
    <cfRule type="expression" dxfId="37" priority="63">
      <formula>AND($E932&gt;=0,#REF!&lt;0)</formula>
    </cfRule>
  </conditionalFormatting>
  <conditionalFormatting sqref="J936">
    <cfRule type="expression" dxfId="36" priority="59">
      <formula>$I$488&gt;1</formula>
    </cfRule>
  </conditionalFormatting>
  <conditionalFormatting sqref="J936">
    <cfRule type="expression" dxfId="35" priority="60">
      <formula>AND($E936&gt;=0,#REF!&lt;0)</formula>
    </cfRule>
  </conditionalFormatting>
  <conditionalFormatting sqref="J940">
    <cfRule type="expression" dxfId="34" priority="57">
      <formula>$I$488&gt;1</formula>
    </cfRule>
  </conditionalFormatting>
  <conditionalFormatting sqref="J940">
    <cfRule type="expression" dxfId="33" priority="58">
      <formula>AND($E940&gt;=0,#REF!&lt;0)</formula>
    </cfRule>
  </conditionalFormatting>
  <conditionalFormatting sqref="J1008">
    <cfRule type="expression" dxfId="32" priority="37">
      <formula>$I$488&gt;1</formula>
    </cfRule>
  </conditionalFormatting>
  <conditionalFormatting sqref="J1000">
    <cfRule type="expression" dxfId="31" priority="46">
      <formula>$I$488&gt;1</formula>
    </cfRule>
  </conditionalFormatting>
  <conditionalFormatting sqref="I1000">
    <cfRule type="expression" dxfId="30" priority="47">
      <formula>AND($E999&gt;0,#REF!&lt;0)</formula>
    </cfRule>
  </conditionalFormatting>
  <conditionalFormatting sqref="I1000:J1000">
    <cfRule type="expression" dxfId="29" priority="48">
      <formula>AND($E999&gt;=0,#REF!&lt;0)</formula>
    </cfRule>
  </conditionalFormatting>
  <conditionalFormatting sqref="J1002">
    <cfRule type="expression" dxfId="28" priority="43">
      <formula>$I$488&gt;1</formula>
    </cfRule>
  </conditionalFormatting>
  <conditionalFormatting sqref="I1002">
    <cfRule type="expression" dxfId="27" priority="44">
      <formula>AND($E1001&gt;0,#REF!&lt;0)</formula>
    </cfRule>
  </conditionalFormatting>
  <conditionalFormatting sqref="I1002:J1002">
    <cfRule type="expression" dxfId="26" priority="45">
      <formula>AND($E1001&gt;=0,#REF!&lt;0)</formula>
    </cfRule>
  </conditionalFormatting>
  <conditionalFormatting sqref="J1004">
    <cfRule type="expression" dxfId="25" priority="41">
      <formula>$I$488&gt;1</formula>
    </cfRule>
  </conditionalFormatting>
  <conditionalFormatting sqref="J1004">
    <cfRule type="expression" dxfId="24" priority="42">
      <formula>AND($E1003&gt;=0,#REF!&lt;0)</formula>
    </cfRule>
  </conditionalFormatting>
  <conditionalFormatting sqref="I1007">
    <cfRule type="expression" dxfId="23" priority="39">
      <formula>AND($E1006&gt;0,#REF!&lt;0)</formula>
    </cfRule>
  </conditionalFormatting>
  <conditionalFormatting sqref="I1007">
    <cfRule type="expression" dxfId="22" priority="40">
      <formula>AND($E1006&gt;=0,#REF!&lt;0)</formula>
    </cfRule>
  </conditionalFormatting>
  <conditionalFormatting sqref="J1008">
    <cfRule type="expression" dxfId="21" priority="38">
      <formula>AND($E1007&gt;=0,#REF!&lt;0)</formula>
    </cfRule>
  </conditionalFormatting>
  <conditionalFormatting sqref="J191">
    <cfRule type="expression" dxfId="20" priority="36">
      <formula>$J$191=$J$192</formula>
    </cfRule>
  </conditionalFormatting>
  <conditionalFormatting sqref="I191">
    <cfRule type="expression" dxfId="19" priority="34">
      <formula>$I$191=$I$192</formula>
    </cfRule>
  </conditionalFormatting>
  <conditionalFormatting sqref="L1039">
    <cfRule type="expression" dxfId="18" priority="31">
      <formula>$I$488&gt;1</formula>
    </cfRule>
  </conditionalFormatting>
  <conditionalFormatting sqref="L1039">
    <cfRule type="expression" dxfId="17" priority="33">
      <formula>AND($E1038&gt;=0,#REF!&lt;0)</formula>
    </cfRule>
  </conditionalFormatting>
  <conditionalFormatting sqref="I1042">
    <cfRule type="expression" dxfId="16" priority="329">
      <formula>AND(#REF!&gt;=0,#REF!&lt;0)</formula>
    </cfRule>
  </conditionalFormatting>
  <conditionalFormatting sqref="I1042">
    <cfRule type="expression" dxfId="15" priority="331">
      <formula>AND(#REF!&gt;0,#REF!&lt;0)</formula>
    </cfRule>
  </conditionalFormatting>
  <conditionalFormatting sqref="J1034">
    <cfRule type="expression" dxfId="14" priority="25">
      <formula>AND($E1033&gt;=0,#REF!&lt;0)</formula>
    </cfRule>
  </conditionalFormatting>
  <conditionalFormatting sqref="J1034">
    <cfRule type="expression" dxfId="13" priority="24">
      <formula>$I$488&gt;1</formula>
    </cfRule>
  </conditionalFormatting>
  <conditionalFormatting sqref="J1050:J1052">
    <cfRule type="expression" dxfId="12" priority="23">
      <formula>AND($E1049&gt;=0,#REF!&lt;0)</formula>
    </cfRule>
  </conditionalFormatting>
  <conditionalFormatting sqref="J1050:J1052">
    <cfRule type="expression" dxfId="11" priority="22">
      <formula>$I$488&gt;1</formula>
    </cfRule>
  </conditionalFormatting>
  <conditionalFormatting sqref="J1057">
    <cfRule type="expression" dxfId="10" priority="21">
      <formula>AND($E1056&gt;=0,#REF!&lt;0)</formula>
    </cfRule>
  </conditionalFormatting>
  <conditionalFormatting sqref="J1057">
    <cfRule type="expression" dxfId="9" priority="20">
      <formula>$I$488&gt;1</formula>
    </cfRule>
  </conditionalFormatting>
  <conditionalFormatting sqref="J1065">
    <cfRule type="expression" dxfId="8" priority="333">
      <formula>AND($E1060&gt;=0,#REF!&lt;0)</formula>
    </cfRule>
  </conditionalFormatting>
  <conditionalFormatting sqref="J1061">
    <cfRule type="expression" dxfId="7" priority="14">
      <formula>$I$488&gt;1</formula>
    </cfRule>
  </conditionalFormatting>
  <conditionalFormatting sqref="J1061:J1062">
    <cfRule type="expression" dxfId="6" priority="15">
      <formula>AND($E1058&gt;=0,#REF!&lt;0)</formula>
    </cfRule>
  </conditionalFormatting>
  <conditionalFormatting sqref="J1070">
    <cfRule type="expression" dxfId="5" priority="10">
      <formula>$I$488&gt;1</formula>
    </cfRule>
  </conditionalFormatting>
  <conditionalFormatting sqref="J1070">
    <cfRule type="expression" dxfId="4" priority="11">
      <formula>AND($E1065&gt;=0,#REF!&lt;0)</formula>
    </cfRule>
  </conditionalFormatting>
  <conditionalFormatting sqref="J1072">
    <cfRule type="expression" dxfId="3" priority="8">
      <formula>$I$488&gt;1</formula>
    </cfRule>
  </conditionalFormatting>
  <conditionalFormatting sqref="J1072">
    <cfRule type="expression" dxfId="2" priority="9">
      <formula>AND($E1066&gt;=0,#REF!&lt;0)</formula>
    </cfRule>
  </conditionalFormatting>
  <conditionalFormatting sqref="J1067">
    <cfRule type="expression" dxfId="1" priority="6">
      <formula>$I$488&gt;1</formula>
    </cfRule>
  </conditionalFormatting>
  <conditionalFormatting sqref="J1067">
    <cfRule type="expression" dxfId="0" priority="7">
      <formula>AND($E1064&gt;=0,#REF!&lt;0)</formula>
    </cfRule>
  </conditionalFormatting>
  <dataValidations count="21">
    <dataValidation type="list" operator="equal" allowBlank="1" sqref="L820:L834 L868:L870">
      <formula1>"天正,二月,三月,四月,五月,六月,七月,八月,九月,十月,十一月,十二月"</formula1>
      <formula2>0</formula2>
    </dataValidation>
    <dataValidation type="list" operator="equal" allowBlank="1" showErrorMessage="1" sqref="N892:N896">
      <formula1>"天正,二月,三月,四月,五月,六月,七月,八月,九月,十月,十一月,十二月"</formula1>
      <formula2>0</formula2>
    </dataValidation>
    <dataValidation type="list" allowBlank="1" showInputMessage="1" showErrorMessage="1" sqref="D446 D1281">
      <formula1>"Liu Hongtao,Cullen"</formula1>
    </dataValidation>
    <dataValidation type="list" allowBlank="1" showInputMessage="1" showErrorMessage="1" sqref="B824 D888 C1585">
      <formula1>$C$791:$C$805</formula1>
    </dataValidation>
    <dataValidation type="list" allowBlank="1" showInputMessage="1" showErrorMessage="1" sqref="D824 E1585">
      <formula1>IF($C$824="大",big.month.days,small.month.days)</formula1>
    </dataValidation>
    <dataValidation type="list" allowBlank="1" showInputMessage="1" showErrorMessage="1" sqref="D828 D1022:D1023">
      <formula1>"previous,nearest"</formula1>
    </dataValidation>
    <dataValidation type="list" allowBlank="1" showInputMessage="1" showErrorMessage="1" sqref="D832 D869">
      <formula1>"drop,round,leave"</formula1>
    </dataValidation>
    <dataValidation type="list" allowBlank="1" showInputMessage="1" showErrorMessage="1" sqref="D260">
      <formula1>"去年,入蔀年,入蔀年減一"</formula1>
    </dataValidation>
    <dataValidation type="list" allowBlank="1" showInputMessage="1" showErrorMessage="1" sqref="D175:E175">
      <formula1>"漢高皇帝受命四十有五歲,月食五星之元"</formula1>
    </dataValidation>
    <dataValidation type="list" allowBlank="1" showInputMessage="1" showErrorMessage="1" sqref="D913">
      <formula1>"減一,不減一"</formula1>
    </dataValidation>
    <dataValidation type="list" allowBlank="1" showInputMessage="1" showErrorMessage="1" sqref="C1047">
      <formula1>eclipse.number</formula1>
    </dataValidation>
    <dataValidation type="list" allowBlank="1" showInputMessage="1" showErrorMessage="1" sqref="D1239:E1239">
      <formula1>"Rounding,Big denominators"</formula1>
    </dataValidation>
    <dataValidation type="list" allowBlank="1" showInputMessage="1" showErrorMessage="1" sqref="D1182:E1182">
      <formula1>"去上元年數,去上元年數+1"</formula1>
    </dataValidation>
    <dataValidation type="list" allowBlank="1" showInputMessage="1" showErrorMessage="1" sqref="D1325:E1325">
      <formula1>"Procedures 3.37–41,Procedure 3.42"</formula1>
    </dataValidation>
    <dataValidation type="list" allowBlank="1" showInputMessage="1" showErrorMessage="1" sqref="F1421">
      <formula1>"(1),(2)"</formula1>
    </dataValidation>
    <dataValidation type="list" allowBlank="1" showInputMessage="1" showErrorMessage="1" sqref="E1424:H1424">
      <formula1>"the result of the last procedure, §166,days accumulated from WS to prior conjunction"</formula1>
    </dataValidation>
    <dataValidation type="list" allowBlank="1" showInputMessage="1" showErrorMessage="1" sqref="G1429:H1429">
      <formula1>"We'll need to convert!,Units?,Fuck them!"</formula1>
    </dataValidation>
    <dataValidation type="list" allowBlank="1" showInputMessage="1" showErrorMessage="1" sqref="H1433">
      <formula1>"round,drop"</formula1>
    </dataValidation>
    <dataValidation type="list" allowBlank="1" showInputMessage="1" showErrorMessage="1" sqref="G1431">
      <formula1>"By simple rule of three,By iteration"</formula1>
    </dataValidation>
    <dataValidation type="list" allowBlank="1" showInputMessage="1" showErrorMessage="1" sqref="C1455:D1455">
      <formula1>"Skip the next two steps,Keep going"</formula1>
    </dataValidation>
    <dataValidation type="list" allowBlank="1" showInputMessage="1" showErrorMessage="1" sqref="E1630">
      <formula1>"Fix it,Leave it"</formula1>
    </dataValidation>
  </dataValidations>
  <hyperlinks>
    <hyperlink ref="B1212" location="hit001" display="? "/>
    <hyperlink ref="B1304" location="hit001" display="? "/>
  </hyperlinks>
  <pageMargins left="0.78749999999999998" right="0.78749999999999998" top="1.0249999999999999" bottom="1.0249999999999999" header="0.78749999999999998" footer="0.78749999999999998"/>
  <pageSetup orientation="portrait" useFirstPageNumber="1" horizontalDpi="300" verticalDpi="300" r:id="rId1"/>
  <headerFooter alignWithMargins="0">
    <oddHeader>&amp;C&amp;"Arial,Regular"&amp;A</oddHeader>
    <oddFooter>&amp;C&amp;"Arial,Regular"Page &amp;P</oddFooter>
  </headerFooter>
  <ignoredErrors>
    <ignoredError sqref="I960"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55"/>
  <sheetViews>
    <sheetView topLeftCell="F9" workbookViewId="0">
      <selection activeCell="AB10" sqref="AB10:AB12"/>
    </sheetView>
  </sheetViews>
  <sheetFormatPr defaultRowHeight="13.2"/>
  <cols>
    <col min="1" max="1" width="5.109375" customWidth="1"/>
    <col min="3" max="3" width="5.21875" customWidth="1"/>
    <col min="4" max="4" width="5.33203125" customWidth="1"/>
    <col min="6" max="8" width="6.109375" customWidth="1"/>
    <col min="9" max="9" width="8.5546875" customWidth="1"/>
    <col min="10" max="10" width="6.77734375" customWidth="1"/>
    <col min="11" max="11" width="7.5546875" customWidth="1"/>
    <col min="12" max="12" width="6.88671875" customWidth="1"/>
    <col min="13" max="13" width="6" customWidth="1"/>
    <col min="14" max="14" width="4.5546875" customWidth="1"/>
    <col min="15" max="15" width="8.33203125" customWidth="1"/>
    <col min="16" max="16" width="8.88671875" customWidth="1"/>
    <col min="17" max="17" width="5.21875" customWidth="1"/>
    <col min="18" max="18" width="5.33203125" customWidth="1"/>
    <col min="19" max="19" width="5.21875" customWidth="1"/>
    <col min="20" max="20" width="7.33203125" customWidth="1"/>
    <col min="21" max="21" width="7.109375" customWidth="1"/>
    <col min="22" max="22" width="5.21875" customWidth="1"/>
    <col min="23" max="23" width="3.6640625" customWidth="1"/>
    <col min="24" max="24" width="5.33203125" customWidth="1"/>
    <col min="25" max="25" width="5.77734375" customWidth="1"/>
    <col min="26" max="26" width="6.21875" customWidth="1"/>
    <col min="27" max="27" width="5" customWidth="1"/>
    <col min="28" max="28" width="6.77734375" customWidth="1"/>
    <col min="29" max="29" width="3.33203125" customWidth="1"/>
    <col min="30" max="30" width="4.21875" customWidth="1"/>
    <col min="31" max="31" width="5.44140625" customWidth="1"/>
  </cols>
  <sheetData>
    <row r="2" spans="1:36">
      <c r="B2" t="s">
        <v>1095</v>
      </c>
      <c r="D2">
        <f>current.year</f>
        <v>132</v>
      </c>
    </row>
    <row r="3" spans="1:36">
      <c r="B3" t="s">
        <v>1096</v>
      </c>
      <c r="D3">
        <f>'The Text'!J161</f>
        <v>292</v>
      </c>
    </row>
    <row r="4" spans="1:36">
      <c r="B4" t="s">
        <v>1080</v>
      </c>
      <c r="D4">
        <f>D3*紀月/紀法</f>
        <v>3611.5789473684213</v>
      </c>
    </row>
    <row r="5" spans="1:36">
      <c r="B5" t="s">
        <v>1097</v>
      </c>
      <c r="D5" s="939">
        <f>'The Text'!I321</f>
        <v>12</v>
      </c>
    </row>
    <row r="7" spans="1:36">
      <c r="B7" s="405" t="s">
        <v>184</v>
      </c>
    </row>
    <row r="8" spans="1:36">
      <c r="AJ8" t="s">
        <v>1102</v>
      </c>
    </row>
    <row r="9" spans="1:36">
      <c r="B9" s="406" t="s">
        <v>1077</v>
      </c>
      <c r="C9" s="405" t="s">
        <v>1078</v>
      </c>
      <c r="D9" s="827" t="s">
        <v>807</v>
      </c>
      <c r="E9" s="928"/>
      <c r="F9" s="929"/>
      <c r="G9" s="948" t="s">
        <v>1098</v>
      </c>
      <c r="H9" s="405" t="s">
        <v>1079</v>
      </c>
      <c r="I9" s="827" t="s">
        <v>806</v>
      </c>
      <c r="J9" s="405" t="s">
        <v>431</v>
      </c>
      <c r="K9" s="406" t="s">
        <v>1080</v>
      </c>
      <c r="L9" s="930" t="s">
        <v>1082</v>
      </c>
      <c r="M9" s="405" t="s">
        <v>1081</v>
      </c>
      <c r="N9" s="827" t="s">
        <v>1083</v>
      </c>
      <c r="O9" s="929"/>
      <c r="P9" s="406" t="s">
        <v>1084</v>
      </c>
      <c r="Q9" s="405" t="s">
        <v>101</v>
      </c>
      <c r="R9" s="405" t="s">
        <v>1087</v>
      </c>
      <c r="S9" s="405"/>
      <c r="T9" s="827" t="s">
        <v>1085</v>
      </c>
      <c r="U9" s="405" t="s">
        <v>432</v>
      </c>
      <c r="V9" s="405" t="s">
        <v>1086</v>
      </c>
      <c r="W9" s="405"/>
      <c r="X9" s="827" t="s">
        <v>1088</v>
      </c>
      <c r="Y9" s="405" t="s">
        <v>1089</v>
      </c>
      <c r="Z9" s="932" t="s">
        <v>1090</v>
      </c>
      <c r="AA9" s="932" t="s">
        <v>1094</v>
      </c>
      <c r="AB9" s="944" t="s">
        <v>1089</v>
      </c>
      <c r="AC9" s="931" t="s">
        <v>1092</v>
      </c>
      <c r="AD9" s="406" t="s">
        <v>1093</v>
      </c>
      <c r="AE9" s="405" t="s">
        <v>1089</v>
      </c>
      <c r="AF9" s="321" t="s">
        <v>1096</v>
      </c>
      <c r="AG9" s="321" t="s">
        <v>1108</v>
      </c>
      <c r="AJ9">
        <v>1</v>
      </c>
    </row>
    <row r="10" spans="1:36">
      <c r="A10" s="525">
        <v>1</v>
      </c>
      <c r="B10" s="422">
        <f>INT(INT(('The Text'!$I$1178-1)*木周率)/木日率)</f>
        <v>8619</v>
      </c>
      <c r="C10" s="526">
        <f>MOD(INT(('The Text'!$I$1178-1)*木周率),木日率)</f>
        <v>949</v>
      </c>
      <c r="D10" s="933">
        <f>INT(C10/木周率)*-1-1</f>
        <v>-1</v>
      </c>
      <c r="E10" s="934" t="str">
        <f>CHOOSE(current.year-F10+1,"本年","前年","前前年","前前前年","前前前前年")</f>
        <v>前年</v>
      </c>
      <c r="F10" s="935">
        <f>current.year+D10</f>
        <v>131</v>
      </c>
      <c r="G10" s="934" t="s">
        <v>995</v>
      </c>
      <c r="H10" s="525">
        <f>木周率-MOD(C10,木周率)</f>
        <v>3378</v>
      </c>
      <c r="I10" s="531">
        <f>B10*木合積月+INT(B10*木月餘/木月法)</f>
        <v>116408</v>
      </c>
      <c r="J10" s="526">
        <f>MOD(B10*木月餘,木月法)</f>
        <v>71221</v>
      </c>
      <c r="K10" s="525">
        <f>MOD(I10,紀月)</f>
        <v>3608</v>
      </c>
      <c r="L10" s="936">
        <f>INT(K10*章閏/章月)</f>
        <v>107</v>
      </c>
      <c r="M10" s="526">
        <f>MOD(K10*章閏,章月)</f>
        <v>111</v>
      </c>
      <c r="N10" s="937">
        <f>MOD(MOD(K10-L10,12)+10,12)+1</f>
        <v>8</v>
      </c>
      <c r="O10" s="938" t="str">
        <f>CONCATENATE(IF(AND(M10&gt;223,M10&lt;232)=TRUE(),"閏",""),CHOOSE(N10,"正","二","三","四","五","六","七","八","九","十","十一","十二"),"月")</f>
        <v>八月</v>
      </c>
      <c r="P10" s="525">
        <f>INT(K10*蔀日/蔀月)</f>
        <v>106547</v>
      </c>
      <c r="Q10" s="526">
        <f>MOD(K10*蔀日,蔀月)</f>
        <v>292</v>
      </c>
      <c r="R10" s="531" t="str">
        <f>CONCATENATE(CHOOSE(MOD(S10,10)+1,"癸","甲","乙","丙","丁","戊","己","庚","辛","壬"),(CHOOSE(MOD(S10,12)+1,"亥","子","丑","寅","卯","辰","巳","午","未","申","酉","戌")))</f>
        <v>辛亥</v>
      </c>
      <c r="S10" s="526">
        <f>MOD(P10,60)+1</f>
        <v>48</v>
      </c>
      <c r="T10" s="937">
        <f>INT(INT((J10*蔀日+Q10*木月法)/4465)/木日度法)</f>
        <v>25</v>
      </c>
      <c r="U10" s="526">
        <f>MOD(INT((J10*蔀日+Q10*木月法)/4465),木日度法)</f>
        <v>15459</v>
      </c>
      <c r="V10" s="531" t="str">
        <f>CONCATENATE(CHOOSE(MOD(W10,10)+1,"癸","甲","乙","丙","丁","戊","己","庚","辛","壬"),(CHOOSE(MOD(W10,12)+1,"亥","子","丑","寅","卯","辰","巳","午","未","申","酉","戌")))</f>
        <v>丙子</v>
      </c>
      <c r="W10" s="526">
        <f>MOD(S10+T10-1,60)+1</f>
        <v>13</v>
      </c>
      <c r="X10" s="531">
        <f>INT(H10*周天/木日度法)</f>
        <v>285</v>
      </c>
      <c r="Y10" s="526">
        <f>MOD(H10*周天,木日度法)</f>
        <v>2478</v>
      </c>
      <c r="Z10" s="936">
        <f>'The Text'!$J$1238</f>
        <v>17308</v>
      </c>
      <c r="AA10" s="531">
        <f>INT(MOD((X10+21)*Z10+ROUND(Y10*Z10/木日度法,0)+Z10/4,Z10*周天/日法)/Z10)</f>
        <v>306</v>
      </c>
      <c r="AB10" s="526">
        <f>MOD(MOD((X10+21)*Z10+ROUND(Y10*Z10/木日度法,0)+Z10/4,Z10*周天/日法),Z10)</f>
        <v>6805</v>
      </c>
      <c r="AC10" s="422" t="str">
        <f>INDEX(lodge.names,MATCH((AA10*Z10+AB10)/Z10,lodge.dipper.du,1))</f>
        <v>亢</v>
      </c>
      <c r="AD10" s="422">
        <f>INT(((AA10*Z10+AB10)-(INDEX(lodge.dipper.du,MATCH(AC10,lodge.names,0))*Z10))/Z10)</f>
        <v>4</v>
      </c>
      <c r="AE10" s="526">
        <f>MOD(((AA10*Z10+AB10)-(INDEX(lodge.dipper.du,MATCH(AC10,lodge.names,0))*Z10)),Z10)</f>
        <v>2478</v>
      </c>
      <c r="AF10">
        <f>INT(K10*紀法/紀月)</f>
        <v>291</v>
      </c>
      <c r="AG10">
        <f>P10+T10</f>
        <v>106572</v>
      </c>
      <c r="AJ10">
        <f>AJ9+1</f>
        <v>2</v>
      </c>
    </row>
    <row r="11" spans="1:36">
      <c r="A11">
        <f>A10+1</f>
        <v>2</v>
      </c>
      <c r="B11" s="321">
        <f>B10+1</f>
        <v>8620</v>
      </c>
      <c r="D11" s="945">
        <f>AF11-$D$3</f>
        <v>0</v>
      </c>
      <c r="E11" s="946" t="str">
        <f>IF(F11&lt;=current.year,CHOOSE(current.year-F11+1,"本年","前年","前前年","前前前年","前前前前年"),CHOOSE(F11-current.year,"後年","後後年","後後後年","後後後後年"))</f>
        <v>本年</v>
      </c>
      <c r="F11" s="947">
        <f>current.year+D11</f>
        <v>132</v>
      </c>
      <c r="G11" s="946" t="s">
        <v>995</v>
      </c>
      <c r="H11" s="940"/>
      <c r="I11" s="927">
        <f>INT(((I10+木合積月)*木月法+J10+木月餘)/木月法)</f>
        <v>116422</v>
      </c>
      <c r="J11" s="462">
        <f>MOD(J10+木月餘,木月法)</f>
        <v>30614</v>
      </c>
      <c r="K11" s="940">
        <f>MOD(I11,紀月)</f>
        <v>3622</v>
      </c>
      <c r="L11" s="941">
        <f>INT(K11*章閏/章月)</f>
        <v>107</v>
      </c>
      <c r="M11" s="572">
        <f>MOD(K11*章閏,章月)</f>
        <v>209</v>
      </c>
      <c r="N11" s="942">
        <f>MOD(MOD(K11-L11,12)+10,12)+1</f>
        <v>10</v>
      </c>
      <c r="O11" s="943" t="str">
        <f>CONCATENATE(IF(AND(M11&gt;223,M11&lt;232)=TRUE(),"閏",""),CHOOSE(N11,"正","二","三","四","五","六","七","八","九","十","十一","十二"),"月")</f>
        <v>十月</v>
      </c>
      <c r="P11" s="940">
        <f>INT(K11*蔀日/蔀月)</f>
        <v>106960</v>
      </c>
      <c r="Q11" s="572">
        <f>MOD(K11*蔀日,蔀月)</f>
        <v>698</v>
      </c>
      <c r="R11" s="752" t="str">
        <f>CONCATENATE(CHOOSE(MOD(S11,10)+1,"癸","甲","乙","丙","丁","戊","己","庚","辛","壬"),(CHOOSE(MOD(S11,12)+1,"亥","子","丑","寅","卯","辰","巳","午","未","申","酉","戌")))</f>
        <v>甲辰</v>
      </c>
      <c r="S11" s="572">
        <f>MOD(P11,60)+1</f>
        <v>41</v>
      </c>
      <c r="T11" s="942">
        <f>INT(INT((J11*蔀日+Q11*木月法)/4465)/木日度法)</f>
        <v>11</v>
      </c>
      <c r="U11" s="572">
        <f>MOD(INT((J11*蔀日+Q11*木月法)/4465),木日度法)</f>
        <v>12792</v>
      </c>
      <c r="V11" s="752" t="str">
        <f>CONCATENATE(CHOOSE(MOD(W11,10)+1,"癸","甲","乙","丙","丁","戊","己","庚","辛","壬"),(CHOOSE(MOD(W11,12)+1,"亥","子","丑","寅","卯","辰","巳","午","未","申","酉","戌")))</f>
        <v>乙卯</v>
      </c>
      <c r="W11" s="572">
        <f>MOD(S11+T11-1,60)+1</f>
        <v>52</v>
      </c>
      <c r="X11" s="942">
        <f>INT(MOD((X10+木積度)*木日度法+Y10+木度餘,木日度法*周天/日法)/木日度法)</f>
        <v>318</v>
      </c>
      <c r="Y11" s="572">
        <f>MOD(MOD((X10+木積度)*木日度法+Y10+木度餘,木日度法*周天/日法),木日度法)</f>
        <v>12792</v>
      </c>
      <c r="Z11" s="926">
        <f>Z10</f>
        <v>17308</v>
      </c>
      <c r="AA11" s="752">
        <f>INT(MOD((X11+21)*Z11+ROUND(Y11*Z11/木日度法,0)+Z11/4,Z11*周天/日法)/Z11)</f>
        <v>339</v>
      </c>
      <c r="AB11" s="572">
        <f>MOD(MOD((X11+21)*Z11+ROUND(Y11*Z11/木日度法,0)+Z11/4,Z11*周天/日法),Z11)</f>
        <v>17119</v>
      </c>
      <c r="AC11" s="320" t="str">
        <f>INDEX(lodge.names,MATCH((AA11*Z11+AB11)/Z11,lodge.dipper.du,1))</f>
        <v>尾</v>
      </c>
      <c r="AD11" s="320">
        <f>INT(((AA11*Z11+AB11)-(INDEX(lodge.dipper.du,MATCH(AC11,lodge.names,0))*Z11))/Z11)</f>
        <v>3</v>
      </c>
      <c r="AE11" s="572">
        <f>MOD(((AA11*Z11+AB11)-(INDEX(lodge.dipper.du,MATCH(AC11,lodge.names,0))*Z11)),Z11)</f>
        <v>12792</v>
      </c>
      <c r="AF11">
        <f>INT(K11*紀法/紀月)</f>
        <v>292</v>
      </c>
      <c r="AG11">
        <f t="shared" ref="AG11:AG12" si="0">P11+T11</f>
        <v>106971</v>
      </c>
      <c r="AJ11">
        <f t="shared" ref="AJ11:AJ38" si="1">AJ10+1</f>
        <v>3</v>
      </c>
    </row>
    <row r="12" spans="1:36">
      <c r="A12">
        <f>A11+1</f>
        <v>3</v>
      </c>
      <c r="B12" s="321">
        <f>B11+1</f>
        <v>8621</v>
      </c>
      <c r="D12" s="945">
        <f>AF12-$D$3</f>
        <v>1</v>
      </c>
      <c r="E12" s="946" t="str">
        <f>IF(F12&lt;=current.year,CHOOSE(current.year-F12+1,"本年","前年","前前年","前前前年","前前前前年"),CHOOSE(F12-current.year,"後年","後後年","後後後年","後後後後年"))</f>
        <v>後年</v>
      </c>
      <c r="F12" s="947">
        <f>current.year+D12</f>
        <v>133</v>
      </c>
      <c r="G12" s="946" t="s">
        <v>995</v>
      </c>
      <c r="H12" s="940"/>
      <c r="I12" s="927">
        <f>INT(((I11+木合積月)*木月法+J11+木月餘)/木月法)</f>
        <v>116435</v>
      </c>
      <c r="J12" s="462">
        <f>MOD(J11+木月餘,木月法)</f>
        <v>72220</v>
      </c>
      <c r="K12" s="940">
        <f>MOD(I12,紀月)</f>
        <v>3635</v>
      </c>
      <c r="L12" s="941">
        <f>INT(K12*章閏/章月)</f>
        <v>108</v>
      </c>
      <c r="M12" s="572">
        <f>MOD(K12*章閏,章月)</f>
        <v>65</v>
      </c>
      <c r="N12" s="942">
        <f>MOD(MOD(K12-L12,12)+10,12)+1</f>
        <v>10</v>
      </c>
      <c r="O12" s="943" t="str">
        <f>CONCATENATE(IF(AND(M12&gt;223,M12&lt;232)=TRUE(),"閏",""),CHOOSE(N12,"正","二","三","四","五","六","七","八","九","十","十一","十二"),"月")</f>
        <v>十月</v>
      </c>
      <c r="P12" s="940">
        <f>INT(K12*蔀日/蔀月)</f>
        <v>107344</v>
      </c>
      <c r="Q12" s="572">
        <f>MOD(K12*蔀日,蔀月)</f>
        <v>605</v>
      </c>
      <c r="R12" s="752" t="str">
        <f>CONCATENATE(CHOOSE(MOD(S12,10)+1,"癸","甲","乙","丙","丁","戊","己","庚","辛","壬"),(CHOOSE(MOD(S12,12)+1,"亥","子","丑","寅","卯","辰","巳","午","未","申","酉","戌")))</f>
        <v>戊辰</v>
      </c>
      <c r="S12" s="572">
        <f>MOD(P12,60)+1</f>
        <v>5</v>
      </c>
      <c r="T12" s="942">
        <f>INT(INT((J12*蔀日+Q12*木月法)/4465)/木日度法)</f>
        <v>26</v>
      </c>
      <c r="U12" s="572">
        <f>MOD(INT((J12*蔀日+Q12*木月法)/4465),木日度法)</f>
        <v>10125</v>
      </c>
      <c r="V12" s="752" t="str">
        <f>CONCATENATE(CHOOSE(MOD(W12,10)+1,"癸","甲","乙","丙","丁","戊","己","庚","辛","壬"),(CHOOSE(MOD(W12,12)+1,"亥","子","丑","寅","卯","辰","巳","午","未","申","酉","戌")))</f>
        <v>甲午</v>
      </c>
      <c r="W12" s="572">
        <f>MOD(S12+T12-1,60)+1</f>
        <v>31</v>
      </c>
      <c r="X12" s="942">
        <f>INT(MOD((X11+木積度)*木日度法+Y11+木度餘,木日度法*周天/日法)/木日度法)</f>
        <v>352</v>
      </c>
      <c r="Y12" s="572">
        <f>MOD(MOD((X11+木積度)*木日度法+Y11+木度餘,木日度法*周天/日法),木日度法)</f>
        <v>5798</v>
      </c>
      <c r="Z12" s="926">
        <f>Z11</f>
        <v>17308</v>
      </c>
      <c r="AA12" s="752">
        <f>INT(MOD((X12+21)*Z12+ROUND(Y12*Z12/木日度法,0)+Z12/4,Z12*周天/日法)/Z12)</f>
        <v>8</v>
      </c>
      <c r="AB12" s="572">
        <f>MOD(MOD((X12+21)*Z12+ROUND(Y12*Z12/木日度法,0)+Z12/4,Z12*周天/日法),Z12)</f>
        <v>5798</v>
      </c>
      <c r="AC12" s="320" t="str">
        <f>INDEX(lodge.names,MATCH((AA12*Z12+AB12)/Z12,lodge.dipper.du,1))</f>
        <v>斗</v>
      </c>
      <c r="AD12" s="320">
        <f>INT(((AA12*Z12+AB12)-(INDEX(lodge.dipper.du,MATCH(AC12,lodge.names,0))*Z12))/Z12)</f>
        <v>8</v>
      </c>
      <c r="AE12" s="572">
        <f>MOD(((AA12*Z12+AB12)-(INDEX(lodge.dipper.du,MATCH(AC12,lodge.names,0))*Z12)),Z12)</f>
        <v>5798</v>
      </c>
      <c r="AF12">
        <f>INT(K12*紀法/紀月)</f>
        <v>293</v>
      </c>
      <c r="AG12">
        <f t="shared" si="0"/>
        <v>107370</v>
      </c>
      <c r="AJ12">
        <f t="shared" si="1"/>
        <v>4</v>
      </c>
    </row>
    <row r="13" spans="1:36">
      <c r="AJ13">
        <f t="shared" si="1"/>
        <v>5</v>
      </c>
    </row>
    <row r="14" spans="1:36">
      <c r="AJ14">
        <f t="shared" si="1"/>
        <v>6</v>
      </c>
    </row>
    <row r="15" spans="1:36">
      <c r="B15" s="405" t="s">
        <v>185</v>
      </c>
      <c r="AJ15">
        <f t="shared" si="1"/>
        <v>7</v>
      </c>
    </row>
    <row r="16" spans="1:36">
      <c r="AJ16">
        <f t="shared" si="1"/>
        <v>8</v>
      </c>
    </row>
    <row r="17" spans="1:36">
      <c r="B17" s="406" t="s">
        <v>1077</v>
      </c>
      <c r="C17" s="405" t="s">
        <v>1078</v>
      </c>
      <c r="D17" s="827" t="s">
        <v>807</v>
      </c>
      <c r="E17" s="928"/>
      <c r="F17" s="929"/>
      <c r="G17" s="948" t="s">
        <v>1098</v>
      </c>
      <c r="H17" s="405" t="s">
        <v>1079</v>
      </c>
      <c r="I17" s="827" t="s">
        <v>806</v>
      </c>
      <c r="J17" s="405" t="s">
        <v>431</v>
      </c>
      <c r="K17" s="406" t="s">
        <v>1080</v>
      </c>
      <c r="L17" s="930" t="s">
        <v>1082</v>
      </c>
      <c r="M17" s="405" t="s">
        <v>1081</v>
      </c>
      <c r="N17" s="827" t="s">
        <v>1083</v>
      </c>
      <c r="O17" s="929"/>
      <c r="P17" s="406" t="s">
        <v>1084</v>
      </c>
      <c r="Q17" s="405" t="s">
        <v>101</v>
      </c>
      <c r="R17" s="405" t="s">
        <v>1087</v>
      </c>
      <c r="S17" s="405"/>
      <c r="T17" s="827" t="s">
        <v>1085</v>
      </c>
      <c r="U17" s="405" t="s">
        <v>432</v>
      </c>
      <c r="V17" s="405" t="s">
        <v>1086</v>
      </c>
      <c r="W17" s="405"/>
      <c r="X17" s="827" t="s">
        <v>1088</v>
      </c>
      <c r="Y17" s="405" t="s">
        <v>1089</v>
      </c>
      <c r="Z17" s="932" t="s">
        <v>1090</v>
      </c>
      <c r="AA17" s="932" t="s">
        <v>1094</v>
      </c>
      <c r="AB17" s="944" t="s">
        <v>1089</v>
      </c>
      <c r="AC17" s="931" t="s">
        <v>1092</v>
      </c>
      <c r="AD17" s="406" t="s">
        <v>1093</v>
      </c>
      <c r="AE17" s="405" t="s">
        <v>1089</v>
      </c>
      <c r="AF17" s="321" t="s">
        <v>1096</v>
      </c>
      <c r="AJ17">
        <f t="shared" si="1"/>
        <v>9</v>
      </c>
    </row>
    <row r="18" spans="1:36">
      <c r="A18" s="525">
        <v>1</v>
      </c>
      <c r="B18" s="422">
        <f>INT(INT(('The Text'!$I$1178-1)*火周率)/火日率)</f>
        <v>4409</v>
      </c>
      <c r="C18" s="526">
        <f>MOD(INT(('The Text'!$I$1178-1)*火周率),火日率)</f>
        <v>1864</v>
      </c>
      <c r="D18" s="933">
        <f>INT(C18/土周率)*-1-1</f>
        <v>-1</v>
      </c>
      <c r="E18" s="934" t="str">
        <f>CHOOSE(current.year-F18+1,"本年","前年","前前年","前前前年","前前前前年")</f>
        <v>前年</v>
      </c>
      <c r="F18" s="935">
        <f>current.year+D18</f>
        <v>131</v>
      </c>
      <c r="G18" s="934" t="s">
        <v>995</v>
      </c>
      <c r="H18" s="525">
        <f>火周率-MOD(C18,火周率)</f>
        <v>773</v>
      </c>
      <c r="I18" s="531">
        <f>B18*火合積月+INT(B18*火月餘/火月法)</f>
        <v>116385</v>
      </c>
      <c r="J18" s="526">
        <f>MOD(B18*火月餘,火月法)</f>
        <v>5855</v>
      </c>
      <c r="K18" s="525">
        <f>MOD(I18,紀月)</f>
        <v>3585</v>
      </c>
      <c r="L18" s="936">
        <f>INT(K18*章閏/章月)</f>
        <v>106</v>
      </c>
      <c r="M18" s="526">
        <f>MOD(K18*章閏,章月)</f>
        <v>185</v>
      </c>
      <c r="N18" s="937">
        <f>MOD(MOD(K18-L18,12)+10,12)+1</f>
        <v>10</v>
      </c>
      <c r="O18" s="938" t="str">
        <f>CONCATENATE(IF(AND(M18&gt;223,M18&lt;232)=TRUE(),"閏",""),CHOOSE(N18,"正","二","三","四","五","六","七","八","九","十","十一","十二"),"月")</f>
        <v>十月</v>
      </c>
      <c r="P18" s="525">
        <f>INT(K18*蔀日/蔀月)</f>
        <v>105868</v>
      </c>
      <c r="Q18" s="526">
        <f>MOD(K18*蔀日,蔀月)</f>
        <v>95</v>
      </c>
      <c r="R18" s="531" t="str">
        <f>CONCATENATE(CHOOSE(MOD(S18,10)+1,"癸","甲","乙","丙","丁","戊","己","庚","辛","壬"),(CHOOSE(MOD(S18,12)+1,"亥","子","丑","寅","卯","辰","巳","午","未","申","酉","戌")))</f>
        <v>壬辰</v>
      </c>
      <c r="S18" s="526">
        <f>MOD(P18,60)+1</f>
        <v>29</v>
      </c>
      <c r="T18" s="937">
        <f>INT(INT((J18*蔀日+Q18*火月法)/4465)/火日度法)</f>
        <v>10</v>
      </c>
      <c r="U18" s="526">
        <f>MOD(INT((J18*蔀日+Q18*火月法)/4465),火日度法)</f>
        <v>1596</v>
      </c>
      <c r="V18" s="531" t="str">
        <f>CONCATENATE(CHOOSE(MOD(W18,10)+1,"癸","甲","乙","丙","丁","戊","己","庚","辛","壬"),(CHOOSE(MOD(W18,12)+1,"亥","子","丑","寅","卯","辰","巳","午","未","申","酉","戌")))</f>
        <v>壬寅</v>
      </c>
      <c r="W18" s="526">
        <f>MOD(S18+T18-1,60)+1</f>
        <v>39</v>
      </c>
      <c r="X18" s="531">
        <f>INT(H18*周天/火日度法)</f>
        <v>321</v>
      </c>
      <c r="Y18" s="526">
        <f>MOD(H18*周天,火日度法)</f>
        <v>717</v>
      </c>
      <c r="Z18" s="936">
        <f>'The Text'!L1238</f>
        <v>3516</v>
      </c>
      <c r="AA18" s="531">
        <f>INT(MOD((X18+21)*Z18+ROUND(Y18*Z18/火日度法,0)+Z18/4,Z18*周天/日法)/Z18)</f>
        <v>342</v>
      </c>
      <c r="AB18" s="526">
        <f>MOD(MOD((X18+21)*Z18+ROUND(Y18*Z18/火日度法,0)+Z18/4,Z18*周天/日法),Z18)</f>
        <v>1596</v>
      </c>
      <c r="AC18" s="422" t="str">
        <f>INDEX(lodge.names,MATCH((AA18*Z18+AB18)/Z18,lodge.dipper.du,1))</f>
        <v>尾</v>
      </c>
      <c r="AD18" s="422">
        <f>INT(((AA18*Z18+AB18)-(INDEX(lodge.dipper.du,MATCH(AC18,lodge.names,0))*Z18))/Z18)</f>
        <v>6</v>
      </c>
      <c r="AE18" s="526">
        <f>MOD(((AA18*Z18+AB18)-(INDEX(lodge.dipper.du,MATCH(AC18,lodge.names,0))*Z18)),Z18)</f>
        <v>717</v>
      </c>
      <c r="AF18">
        <f>INT(K18*紀法/紀月)</f>
        <v>289</v>
      </c>
      <c r="AG18">
        <f t="shared" ref="AG18:AG20" si="2">P18+T18</f>
        <v>105878</v>
      </c>
      <c r="AJ18">
        <f t="shared" si="1"/>
        <v>10</v>
      </c>
    </row>
    <row r="19" spans="1:36">
      <c r="A19">
        <f>A18+1</f>
        <v>2</v>
      </c>
      <c r="B19" s="321">
        <f>B18+1</f>
        <v>4410</v>
      </c>
      <c r="D19" s="945">
        <f>AF19-$D$3</f>
        <v>-1</v>
      </c>
      <c r="E19" s="946" t="str">
        <f>IF(F19&lt;=current.year,CHOOSE(current.year-F19+1,"本年","前年","前前年","前前前年","前前前前年"),CHOOSE(F19-current.year,"後年","後後年","後後後年","後後後後年"))</f>
        <v>前年</v>
      </c>
      <c r="F19" s="947">
        <f>current.year+D19</f>
        <v>131</v>
      </c>
      <c r="G19" s="946" t="s">
        <v>995</v>
      </c>
      <c r="H19" s="940"/>
      <c r="I19" s="927">
        <f>INT(((I18+火合積月)*火月法+J18+火月餘)/火月法)</f>
        <v>116411</v>
      </c>
      <c r="J19" s="462">
        <f>MOD(J18+火月餘,火月法)</f>
        <v>12489</v>
      </c>
      <c r="K19" s="940">
        <f>MOD(I19,紀月)</f>
        <v>3611</v>
      </c>
      <c r="L19" s="941">
        <f>INT(K19*章閏/章月)</f>
        <v>107</v>
      </c>
      <c r="M19" s="572">
        <f>MOD(K19*章閏,章月)</f>
        <v>132</v>
      </c>
      <c r="N19" s="942">
        <f>MOD(MOD(K19-L19,12)+10,12)+1</f>
        <v>11</v>
      </c>
      <c r="O19" s="943" t="str">
        <f>CONCATENATE(IF(AND(M19&gt;223,M19&lt;232)=TRUE(),"閏",""),CHOOSE(N19,"正","二","三","四","五","六","七","八","九","十","十一","十二"),"月")</f>
        <v>十一月</v>
      </c>
      <c r="P19" s="940">
        <f>INT(K19*蔀日/蔀月)</f>
        <v>106635</v>
      </c>
      <c r="Q19" s="572">
        <f>MOD(K19*蔀日,蔀月)</f>
        <v>849</v>
      </c>
      <c r="R19" s="752" t="str">
        <f>CONCATENATE(CHOOSE(MOD(S19,10)+1,"癸","甲","乙","丙","丁","戊","己","庚","辛","壬"),(CHOOSE(MOD(S19,12)+1,"亥","子","丑","寅","卯","辰","巳","午","未","申","酉","戌")))</f>
        <v>己卯</v>
      </c>
      <c r="S19" s="572">
        <f>MOD(P19,60)+1</f>
        <v>16</v>
      </c>
      <c r="T19" s="942">
        <f>INT(INT((J19*蔀日+Q19*火月法)/4465)/火日度法)</f>
        <v>22</v>
      </c>
      <c r="U19" s="572">
        <f>MOD(INT((J19*蔀日+Q19*火月法)/4465),火日度法)</f>
        <v>3468</v>
      </c>
      <c r="V19" s="752" t="str">
        <f>CONCATENATE(CHOOSE(MOD(W19,10)+1,"癸","甲","乙","丙","丁","戊","己","庚","辛","壬"),(CHOOSE(MOD(W19,12)+1,"亥","子","丑","寅","卯","辰","巳","午","未","申","酉","戌")))</f>
        <v>辛丑</v>
      </c>
      <c r="W19" s="572">
        <f>MOD(S19+T19-1,60)+1</f>
        <v>38</v>
      </c>
      <c r="X19" s="942">
        <f>INT(MOD((X18+火積度)*火日度法+Y18+火度餘,火日度法*周天/日法)/火日度法)</f>
        <v>4</v>
      </c>
      <c r="Y19" s="572">
        <f>MOD(MOD((X18+火積度)*火日度法+Y18+火度餘,火日度法*周天/日法),火日度法)</f>
        <v>3468</v>
      </c>
      <c r="Z19" s="926">
        <f>Z18</f>
        <v>3516</v>
      </c>
      <c r="AA19" s="752">
        <f>INT(MOD((X19+21)*Z19+ROUND(Y19*Z19/火日度法,0)+Z19/4,Z19*周天/日法)/Z19)</f>
        <v>26</v>
      </c>
      <c r="AB19" s="572">
        <f>MOD(MOD((X19+21)*Z19+ROUND(Y19*Z19/火日度法,0)+Z19/4,Z19*周天/日法),Z19)</f>
        <v>831</v>
      </c>
      <c r="AC19" s="320" t="str">
        <f>INDEX(lodge.names,MATCH((AA19*Z19+AB19)/Z19,lodge.dipper.du,1))</f>
        <v>斗</v>
      </c>
      <c r="AD19" s="320">
        <f>INT(((AA19*Z19+AB19)-(INDEX(lodge.dipper.du,MATCH(AC19,lodge.names,0))*Z19))/Z19)</f>
        <v>26</v>
      </c>
      <c r="AE19" s="572">
        <f>MOD(((AA19*Z19+AB19)-(INDEX(lodge.dipper.du,MATCH(AC19,lodge.names,0))*Z19)),Z19)</f>
        <v>831</v>
      </c>
      <c r="AF19">
        <f>INT(K19*紀法/紀月)</f>
        <v>291</v>
      </c>
      <c r="AG19">
        <f t="shared" si="2"/>
        <v>106657</v>
      </c>
      <c r="AJ19">
        <f t="shared" si="1"/>
        <v>11</v>
      </c>
    </row>
    <row r="20" spans="1:36">
      <c r="A20">
        <f>A19+1</f>
        <v>3</v>
      </c>
      <c r="B20" s="321">
        <f>B19+1</f>
        <v>4411</v>
      </c>
      <c r="D20" s="945">
        <f>AF20-$D$3</f>
        <v>2</v>
      </c>
      <c r="E20" s="946" t="str">
        <f>IF(F20&lt;=current.year,CHOOSE(current.year-F20+1,"本年","前年","前前年","前前前年","前前前前年"),CHOOSE(F20-current.year,"後年","後後年","後後後年","後後後後年"))</f>
        <v>後後年</v>
      </c>
      <c r="F20" s="947">
        <f>current.year+D20</f>
        <v>134</v>
      </c>
      <c r="G20" s="946" t="s">
        <v>995</v>
      </c>
      <c r="H20" s="940"/>
      <c r="I20" s="927">
        <f>INT(((I19+火合積月)*火月法+J19+火月餘)/火月法)</f>
        <v>116438</v>
      </c>
      <c r="J20" s="462">
        <f>MOD(J19+火月餘,火月法)</f>
        <v>2422</v>
      </c>
      <c r="K20" s="940">
        <f>MOD(I20,紀月)</f>
        <v>3638</v>
      </c>
      <c r="L20" s="941">
        <f>INT(K20*章閏/章月)</f>
        <v>108</v>
      </c>
      <c r="M20" s="572">
        <f>MOD(K20*章閏,章月)</f>
        <v>86</v>
      </c>
      <c r="N20" s="942">
        <f>MOD(MOD(K20-L20,12)+10,12)+1</f>
        <v>1</v>
      </c>
      <c r="O20" s="943" t="str">
        <f>CONCATENATE(IF(AND(M20&gt;223,M20&lt;232)=TRUE(),"閏",""),CHOOSE(N20,"正","二","三","四","五","六","七","八","九","十","十一","十二"),"月")</f>
        <v>正月</v>
      </c>
      <c r="P20" s="940">
        <f>INT(K20*蔀日/蔀月)</f>
        <v>107433</v>
      </c>
      <c r="Q20" s="572">
        <f>MOD(K20*蔀日,蔀月)</f>
        <v>222</v>
      </c>
      <c r="R20" s="752" t="str">
        <f>CONCATENATE(CHOOSE(MOD(S20,10)+1,"癸","甲","乙","丙","丁","戊","己","庚","辛","壬"),(CHOOSE(MOD(S20,12)+1,"亥","子","丑","寅","卯","辰","巳","午","未","申","酉","戌")))</f>
        <v>丁酉</v>
      </c>
      <c r="S20" s="572">
        <f>MOD(P20,60)+1</f>
        <v>34</v>
      </c>
      <c r="T20" s="942">
        <f>INT(INT((J20*蔀日+Q20*火月法)/4465)/火日度法)</f>
        <v>4</v>
      </c>
      <c r="U20" s="572">
        <f>MOD(INT((J20*蔀日+Q20*火月法)/4465),火日度法)</f>
        <v>1824</v>
      </c>
      <c r="V20" s="752" t="str">
        <f>CONCATENATE(CHOOSE(MOD(W20,10)+1,"癸","甲","乙","丙","丁","戊","己","庚","辛","壬"),(CHOOSE(MOD(W20,12)+1,"亥","子","丑","寅","卯","辰","巳","午","未","申","酉","戌")))</f>
        <v>辛丑</v>
      </c>
      <c r="W20" s="572">
        <f>MOD(S20+T20-1,60)+1</f>
        <v>38</v>
      </c>
      <c r="X20" s="942">
        <f>INT(MOD((X19+火積度)*火日度法+Y19+火度餘,火日度法*周天/日法)/火日度法)</f>
        <v>54</v>
      </c>
      <c r="Y20" s="572">
        <f>MOD(MOD((X19+火積度)*火日度法+Y19+火度餘,火日度法*周天/日法),火日度法)</f>
        <v>66</v>
      </c>
      <c r="Z20" s="926">
        <f>Z19</f>
        <v>3516</v>
      </c>
      <c r="AA20" s="752">
        <f>INT(MOD((X20+21)*Z20+ROUND(Y20*Z20/火日度法,0)+Z20/4,Z20*周天/日法)/Z20)</f>
        <v>75</v>
      </c>
      <c r="AB20" s="572">
        <f>MOD(MOD((X20+21)*Z20+ROUND(Y20*Z20/火日度法,0)+Z20/4,Z20*周天/日法),Z20)</f>
        <v>945</v>
      </c>
      <c r="AC20" s="320" t="str">
        <f>INDEX(lodge.names,MATCH((AA20*Z20+AB20)/Z20,lodge.dipper.du,1))</f>
        <v>室</v>
      </c>
      <c r="AD20" s="320">
        <f>INT(((AA20*Z20+AB20)-(INDEX(lodge.dipper.du,MATCH(AC20,lodge.names,0))*Z20))/Z20)</f>
        <v>2</v>
      </c>
      <c r="AE20" s="572">
        <f>MOD(((AA20*Z20+AB20)-(INDEX(lodge.dipper.du,MATCH(AC20,lodge.names,0))*Z20)),Z20)</f>
        <v>66</v>
      </c>
      <c r="AF20">
        <f>INT(K20*紀法/紀月)</f>
        <v>294</v>
      </c>
      <c r="AG20">
        <f t="shared" si="2"/>
        <v>107437</v>
      </c>
      <c r="AJ20">
        <f t="shared" si="1"/>
        <v>12</v>
      </c>
    </row>
    <row r="21" spans="1:36">
      <c r="AJ21">
        <f t="shared" si="1"/>
        <v>13</v>
      </c>
    </row>
    <row r="22" spans="1:36">
      <c r="AJ22">
        <f t="shared" si="1"/>
        <v>14</v>
      </c>
    </row>
    <row r="23" spans="1:36">
      <c r="B23" s="405" t="s">
        <v>186</v>
      </c>
      <c r="AJ23">
        <f t="shared" si="1"/>
        <v>15</v>
      </c>
    </row>
    <row r="24" spans="1:36">
      <c r="AJ24">
        <f t="shared" si="1"/>
        <v>16</v>
      </c>
    </row>
    <row r="25" spans="1:36">
      <c r="B25" s="406" t="s">
        <v>1077</v>
      </c>
      <c r="C25" s="405" t="s">
        <v>1078</v>
      </c>
      <c r="D25" s="827" t="s">
        <v>807</v>
      </c>
      <c r="E25" s="928"/>
      <c r="F25" s="929"/>
      <c r="G25" s="948" t="s">
        <v>1098</v>
      </c>
      <c r="H25" s="405" t="s">
        <v>1079</v>
      </c>
      <c r="I25" s="827" t="s">
        <v>806</v>
      </c>
      <c r="J25" s="405" t="s">
        <v>431</v>
      </c>
      <c r="K25" s="406" t="s">
        <v>1080</v>
      </c>
      <c r="L25" s="930" t="s">
        <v>1082</v>
      </c>
      <c r="M25" s="405" t="s">
        <v>1081</v>
      </c>
      <c r="N25" s="827" t="s">
        <v>1083</v>
      </c>
      <c r="O25" s="929"/>
      <c r="P25" s="406" t="s">
        <v>1084</v>
      </c>
      <c r="Q25" s="405" t="s">
        <v>101</v>
      </c>
      <c r="R25" s="405" t="s">
        <v>1087</v>
      </c>
      <c r="S25" s="405"/>
      <c r="T25" s="827" t="s">
        <v>1085</v>
      </c>
      <c r="U25" s="405" t="s">
        <v>432</v>
      </c>
      <c r="V25" s="405" t="s">
        <v>1086</v>
      </c>
      <c r="W25" s="405"/>
      <c r="X25" s="827" t="s">
        <v>1088</v>
      </c>
      <c r="Y25" s="405" t="s">
        <v>1089</v>
      </c>
      <c r="Z25" s="932" t="s">
        <v>1090</v>
      </c>
      <c r="AA25" s="932" t="s">
        <v>1094</v>
      </c>
      <c r="AB25" s="944" t="s">
        <v>1089</v>
      </c>
      <c r="AC25" s="931" t="s">
        <v>1092</v>
      </c>
      <c r="AD25" s="406" t="s">
        <v>1093</v>
      </c>
      <c r="AE25" s="405" t="s">
        <v>1089</v>
      </c>
      <c r="AF25" s="321" t="s">
        <v>1096</v>
      </c>
      <c r="AJ25">
        <f t="shared" si="1"/>
        <v>17</v>
      </c>
    </row>
    <row r="26" spans="1:36">
      <c r="A26" s="525">
        <v>1</v>
      </c>
      <c r="B26" s="422">
        <f>INT(INT(('The Text'!$I$1178-1)*土周率)/土日率)</f>
        <v>9093</v>
      </c>
      <c r="C26" s="526">
        <f>MOD(INT(('The Text'!$I$1178-1)*土周率),土日率)</f>
        <v>957</v>
      </c>
      <c r="D26" s="933">
        <f>INT(C26/土周率)*-1-1</f>
        <v>-1</v>
      </c>
      <c r="E26" s="934" t="str">
        <f>CHOOSE(current.year-F26+1,"本年","前年","前前年","前前前年","前前前前年")</f>
        <v>前年</v>
      </c>
      <c r="F26" s="935">
        <f>current.year+D26</f>
        <v>131</v>
      </c>
      <c r="G26" s="934" t="s">
        <v>995</v>
      </c>
      <c r="H26" s="525">
        <f>土周率-MOD(C26,土周率)</f>
        <v>8139</v>
      </c>
      <c r="I26" s="531">
        <f>B26*土合積月+INT(B26*土月餘/土月法)</f>
        <v>116410</v>
      </c>
      <c r="J26" s="526">
        <f>MOD(B26*土月餘,土月法)</f>
        <v>47985</v>
      </c>
      <c r="K26" s="525">
        <f>MOD(I26,紀月)</f>
        <v>3610</v>
      </c>
      <c r="L26" s="936">
        <f>INT(K26*章閏/章月)</f>
        <v>107</v>
      </c>
      <c r="M26" s="526">
        <f>MOD(K26*章閏,章月)</f>
        <v>125</v>
      </c>
      <c r="N26" s="937">
        <f>MOD(MOD(K26-L26,12)+10,12)+1</f>
        <v>10</v>
      </c>
      <c r="O26" s="938" t="str">
        <f>CONCATENATE(IF(AND(M26&gt;223,M26&lt;232)=TRUE(),"閏",""),CHOOSE(N26,"正","二","三","四","五","六","七","八","九","十","十一","十二"),"月")</f>
        <v>十月</v>
      </c>
      <c r="P26" s="525">
        <f>INT(K26*蔀日/蔀月)</f>
        <v>106606</v>
      </c>
      <c r="Q26" s="526">
        <f>MOD(K26*蔀日,蔀月)</f>
        <v>350</v>
      </c>
      <c r="R26" s="531" t="str">
        <f>CONCATENATE(CHOOSE(MOD(S26,10)+1,"癸","甲","乙","丙","丁","戊","己","庚","辛","壬"),(CHOOSE(MOD(S26,12)+1,"亥","子","丑","寅","卯","辰","巳","午","未","申","酉","戌")))</f>
        <v>庚戌</v>
      </c>
      <c r="S26" s="526">
        <f>MOD(P26,60)+1</f>
        <v>47</v>
      </c>
      <c r="T26" s="937">
        <f>INT(INT((J26*蔀日+Q26*土月法)/4465)/土日度法)</f>
        <v>8</v>
      </c>
      <c r="U26" s="526">
        <f>MOD(INT((J26*蔀日+Q26*土月法)/4465),土日度法)</f>
        <v>20799</v>
      </c>
      <c r="V26" s="531" t="str">
        <f>CONCATENATE(CHOOSE(MOD(W26,10)+1,"癸","甲","乙","丙","丁","戊","己","庚","辛","壬"),(CHOOSE(MOD(W26,12)+1,"亥","子","丑","寅","卯","辰","巳","午","未","申","酉","戌")))</f>
        <v>戊午</v>
      </c>
      <c r="W26" s="526">
        <f>MOD(S26+T26-1,60)+1</f>
        <v>55</v>
      </c>
      <c r="X26" s="531">
        <f>INT(H26*周天/土日度法)</f>
        <v>326</v>
      </c>
      <c r="Y26" s="526">
        <f>MOD(H26*周天,土日度法)</f>
        <v>29895</v>
      </c>
      <c r="Z26" s="936">
        <f>'The Text'!N1238</f>
        <v>36384</v>
      </c>
      <c r="AA26" s="531">
        <f>INT(MOD((X26+21)*Z26+ROUND(Y26*Z26/土日度法,0)+Z26/4,Z26*周天/日法)/Z26)</f>
        <v>348</v>
      </c>
      <c r="AB26" s="526">
        <f>MOD(MOD((X26+21)*Z26+ROUND(Y26*Z26/土日度法,0)+Z26/4,Z26*周天/日法),Z26)</f>
        <v>2607</v>
      </c>
      <c r="AC26" s="422" t="str">
        <f>INDEX(lodge.names,MATCH((AA26*Z26+AB26)/Z26,lodge.dipper.du,1))</f>
        <v>尾</v>
      </c>
      <c r="AD26" s="422">
        <f>INT(((AA26*Z26+AB26)-(INDEX(lodge.dipper.du,MATCH(AC26,lodge.names,0))*Z26))/Z26)</f>
        <v>11</v>
      </c>
      <c r="AE26" s="526">
        <f>MOD(((AA26*Z26+AB26)-(INDEX(lodge.dipper.du,MATCH(AC26,lodge.names,0))*Z26)),Z26)</f>
        <v>29895</v>
      </c>
      <c r="AF26">
        <f>INT(K26*紀法/紀月)</f>
        <v>291</v>
      </c>
      <c r="AG26">
        <f t="shared" ref="AG26:AG28" si="3">P26+T26</f>
        <v>106614</v>
      </c>
      <c r="AJ26">
        <f t="shared" si="1"/>
        <v>18</v>
      </c>
    </row>
    <row r="27" spans="1:36">
      <c r="A27">
        <f>A26+1</f>
        <v>2</v>
      </c>
      <c r="B27" s="321">
        <f>B26+1</f>
        <v>9094</v>
      </c>
      <c r="D27" s="945">
        <f>AF27-$D$3</f>
        <v>0</v>
      </c>
      <c r="E27" s="946" t="str">
        <f>IF(F27&lt;=current.year,CHOOSE(current.year-F27+1,"本年","前年","前前年","前前前年","前前前前年"),CHOOSE(F27-current.year,"後年","後後年","後後後年","後後後後年"))</f>
        <v>本年</v>
      </c>
      <c r="F27" s="947">
        <f>current.year+D27</f>
        <v>132</v>
      </c>
      <c r="G27" s="946" t="s">
        <v>995</v>
      </c>
      <c r="H27" s="940"/>
      <c r="I27" s="927">
        <f>INT(((I26+土合積月)*土月法+J26+土月餘)/土月法)</f>
        <v>116423</v>
      </c>
      <c r="J27" s="462">
        <f>MOD(J26+土月餘,土月法)</f>
        <v>13798</v>
      </c>
      <c r="K27" s="940">
        <f>MOD(I27,紀月)</f>
        <v>3623</v>
      </c>
      <c r="L27" s="941">
        <f>INT(K27*章閏/章月)</f>
        <v>107</v>
      </c>
      <c r="M27" s="572">
        <f>MOD(K27*章閏,章月)</f>
        <v>216</v>
      </c>
      <c r="N27" s="942">
        <f>MOD(MOD(K27-L27,12)+10,12)+1</f>
        <v>11</v>
      </c>
      <c r="O27" s="943" t="str">
        <f>CONCATENATE(IF(AND(M27&gt;223,M27&lt;232)=TRUE(),"閏",""),CHOOSE(N27,"正","二","三","四","五","六","七","八","九","十","十一","十二"),"月")</f>
        <v>十一月</v>
      </c>
      <c r="P27" s="940">
        <f>INT(K27*蔀日/蔀月)</f>
        <v>106990</v>
      </c>
      <c r="Q27" s="572">
        <f>MOD(K27*蔀日,蔀月)</f>
        <v>257</v>
      </c>
      <c r="R27" s="752" t="str">
        <f>CONCATENATE(CHOOSE(MOD(S27,10)+1,"癸","甲","乙","丙","丁","戊","己","庚","辛","壬"),(CHOOSE(MOD(S27,12)+1,"亥","子","丑","寅","卯","辰","巳","午","未","申","酉","戌")))</f>
        <v>甲戌</v>
      </c>
      <c r="S27" s="572">
        <f>MOD(P27,60)+1</f>
        <v>11</v>
      </c>
      <c r="T27" s="942">
        <f>INT(INT((J27*蔀日+Q27*土月法)/4465)/土日度法)</f>
        <v>2</v>
      </c>
      <c r="U27" s="572">
        <f>MOD(INT((J27*蔀日+Q27*土月法)/4465),土日度法)</f>
        <v>22962</v>
      </c>
      <c r="V27" s="752" t="str">
        <f>CONCATENATE(CHOOSE(MOD(W27,10)+1,"癸","甲","乙","丙","丁","戊","己","庚","辛","壬"),(CHOOSE(MOD(W27,12)+1,"亥","子","丑","寅","卯","辰","巳","午","未","申","酉","戌")))</f>
        <v>丙子</v>
      </c>
      <c r="W27" s="572">
        <f>MOD(S27+T27-1,60)+1</f>
        <v>13</v>
      </c>
      <c r="X27" s="942">
        <f>INT(MOD((X26+土積度)*土日度法+Y26+土度餘,土日度法*周天/日法)/土日度法)</f>
        <v>339</v>
      </c>
      <c r="Y27" s="572">
        <f>MOD(MOD((X26+土積度)*土日度法+Y26+土度餘,土日度法*周天/日法),土日度法)</f>
        <v>22962</v>
      </c>
      <c r="Z27" s="926">
        <f>Z26</f>
        <v>36384</v>
      </c>
      <c r="AA27" s="752">
        <f>INT(MOD((X27+21)*Z27+ROUND(Y27*Z27/土日度法,0)+Z27/4,Z27*周天/日法)/Z27)</f>
        <v>360</v>
      </c>
      <c r="AB27" s="572">
        <f>MOD(MOD((X27+21)*Z27+ROUND(Y27*Z27/土日度法,0)+Z27/4,Z27*周天/日法),Z27)</f>
        <v>32058</v>
      </c>
      <c r="AC27" s="320" t="str">
        <f>INDEX(lodge.names,MATCH((AA27*Z27+AB27)/Z27,lodge.dipper.du,1))</f>
        <v>箕</v>
      </c>
      <c r="AD27" s="320">
        <f>INT(((AA27*Z27+AB27)-(INDEX(lodge.dipper.du,MATCH(AC27,lodge.names,0))*Z27))/Z27)</f>
        <v>6</v>
      </c>
      <c r="AE27" s="572">
        <f>MOD(((AA27*Z27+AB27)-(INDEX(lodge.dipper.du,MATCH(AC27,lodge.names,0))*Z27)),Z27)</f>
        <v>22962</v>
      </c>
      <c r="AF27">
        <f>INT(K27*紀法/紀月)</f>
        <v>292</v>
      </c>
      <c r="AG27">
        <f t="shared" si="3"/>
        <v>106992</v>
      </c>
      <c r="AJ27">
        <f t="shared" si="1"/>
        <v>19</v>
      </c>
    </row>
    <row r="28" spans="1:36">
      <c r="A28">
        <f>A27+1</f>
        <v>3</v>
      </c>
      <c r="B28" s="321">
        <f>B27+1</f>
        <v>9095</v>
      </c>
      <c r="D28" s="945">
        <f>AF28-$D$3</f>
        <v>1</v>
      </c>
      <c r="E28" s="946" t="str">
        <f>IF(F28&lt;=current.year,CHOOSE(current.year-F28+1,"本年","前年","前前年","前前前年","前前前前年"),CHOOSE(F28-current.year,"後年","後後年","後後後年","後後後後年"))</f>
        <v>後年</v>
      </c>
      <c r="F28" s="947">
        <f>current.year+D28</f>
        <v>133</v>
      </c>
      <c r="G28" s="946" t="s">
        <v>995</v>
      </c>
      <c r="H28" s="940"/>
      <c r="I28" s="927">
        <f>INT(((I27+土合積月)*土月法+J27+土月餘)/土月法)</f>
        <v>116435</v>
      </c>
      <c r="J28" s="462">
        <f>MOD(J27+土月餘,土月法)</f>
        <v>152435</v>
      </c>
      <c r="K28" s="940">
        <f>MOD(I28,紀月)</f>
        <v>3635</v>
      </c>
      <c r="L28" s="941">
        <f>INT(K28*章閏/章月)</f>
        <v>108</v>
      </c>
      <c r="M28" s="572">
        <f>MOD(K28*章閏,章月)</f>
        <v>65</v>
      </c>
      <c r="N28" s="942">
        <f>MOD(MOD(K28-L28,12)+10,12)+1</f>
        <v>10</v>
      </c>
      <c r="O28" s="943" t="str">
        <f>CONCATENATE(IF(AND(M28&gt;223,M28&lt;232)=TRUE(),"閏",""),CHOOSE(N28,"正","二","三","四","五","六","七","八","九","十","十一","十二"),"月")</f>
        <v>十月</v>
      </c>
      <c r="P28" s="940">
        <f>INT(K28*蔀日/蔀月)</f>
        <v>107344</v>
      </c>
      <c r="Q28" s="572">
        <f>MOD(K28*蔀日,蔀月)</f>
        <v>605</v>
      </c>
      <c r="R28" s="752" t="str">
        <f>CONCATENATE(CHOOSE(MOD(S28,10)+1,"癸","甲","乙","丙","丁","戊","己","庚","辛","壬"),(CHOOSE(MOD(S28,12)+1,"亥","子","丑","寅","卯","辰","巳","午","未","申","酉","戌")))</f>
        <v>戊辰</v>
      </c>
      <c r="S28" s="572">
        <f>MOD(P28,60)+1</f>
        <v>5</v>
      </c>
      <c r="T28" s="942">
        <f>INT(INT((J28*蔀日+Q28*土月法)/4465)/土日度法)</f>
        <v>26</v>
      </c>
      <c r="U28" s="572">
        <f>MOD(INT((J28*蔀日+Q28*土月法)/4465),土日度法)</f>
        <v>25125</v>
      </c>
      <c r="V28" s="752" t="str">
        <f>CONCATENATE(CHOOSE(MOD(W28,10)+1,"癸","甲","乙","丙","丁","戊","己","庚","辛","壬"),(CHOOSE(MOD(W28,12)+1,"亥","子","丑","寅","卯","辰","巳","午","未","申","酉","戌")))</f>
        <v>甲午</v>
      </c>
      <c r="W28" s="572">
        <f>MOD(S28+T28-1,60)+1</f>
        <v>31</v>
      </c>
      <c r="X28" s="942">
        <f>INT(MOD((X27+土積度)*土日度法+Y27+土度餘,土日度法*周天/日法)/土日度法)</f>
        <v>352</v>
      </c>
      <c r="Y28" s="572">
        <f>MOD(MOD((X27+土積度)*土日度法+Y27+土度餘,土日度法*周天/日法),土日度法)</f>
        <v>16029</v>
      </c>
      <c r="Z28" s="926">
        <f>Z27</f>
        <v>36384</v>
      </c>
      <c r="AA28" s="752">
        <f>INT(MOD((X28+21)*Z28+ROUND(Y28*Z28/土日度法,0)+Z28/4,Z28*周天/日法)/Z28)</f>
        <v>8</v>
      </c>
      <c r="AB28" s="572">
        <f>MOD(MOD((X28+21)*Z28+ROUND(Y28*Z28/土日度法,0)+Z28/4,Z28*周天/日法),Z28)</f>
        <v>16029</v>
      </c>
      <c r="AC28" s="320" t="str">
        <f>INDEX(lodge.names,MATCH((AA28*Z28+AB28)/Z28,lodge.dipper.du,1))</f>
        <v>斗</v>
      </c>
      <c r="AD28" s="320">
        <f>INT(((AA28*Z28+AB28)-(INDEX(lodge.dipper.du,MATCH(AC28,lodge.names,0))*Z28))/Z28)</f>
        <v>8</v>
      </c>
      <c r="AE28" s="572">
        <f>MOD(((AA28*Z28+AB28)-(INDEX(lodge.dipper.du,MATCH(AC28,lodge.names,0))*Z28)),Z28)</f>
        <v>16029</v>
      </c>
      <c r="AF28">
        <f>INT(K28*紀法/紀月)</f>
        <v>293</v>
      </c>
      <c r="AG28">
        <f t="shared" si="3"/>
        <v>107370</v>
      </c>
      <c r="AJ28">
        <f t="shared" si="1"/>
        <v>20</v>
      </c>
    </row>
    <row r="29" spans="1:36">
      <c r="AJ29">
        <f t="shared" si="1"/>
        <v>21</v>
      </c>
    </row>
    <row r="30" spans="1:36">
      <c r="AJ30">
        <f t="shared" si="1"/>
        <v>22</v>
      </c>
    </row>
    <row r="31" spans="1:36">
      <c r="B31" s="405" t="s">
        <v>187</v>
      </c>
      <c r="AJ31">
        <f t="shared" si="1"/>
        <v>23</v>
      </c>
    </row>
    <row r="32" spans="1:36">
      <c r="AJ32">
        <f t="shared" si="1"/>
        <v>24</v>
      </c>
    </row>
    <row r="33" spans="1:36">
      <c r="B33" s="406" t="s">
        <v>1077</v>
      </c>
      <c r="C33" s="405" t="s">
        <v>1078</v>
      </c>
      <c r="D33" s="827" t="s">
        <v>807</v>
      </c>
      <c r="E33" s="928"/>
      <c r="F33" s="929"/>
      <c r="G33" s="948" t="s">
        <v>1098</v>
      </c>
      <c r="H33" s="405" t="s">
        <v>1079</v>
      </c>
      <c r="I33" s="827" t="s">
        <v>806</v>
      </c>
      <c r="J33" s="405" t="s">
        <v>431</v>
      </c>
      <c r="K33" s="406" t="s">
        <v>1080</v>
      </c>
      <c r="L33" s="930" t="s">
        <v>1082</v>
      </c>
      <c r="M33" s="405" t="s">
        <v>1081</v>
      </c>
      <c r="N33" s="827" t="s">
        <v>1083</v>
      </c>
      <c r="O33" s="929"/>
      <c r="P33" s="406" t="s">
        <v>1084</v>
      </c>
      <c r="Q33" s="405" t="s">
        <v>101</v>
      </c>
      <c r="R33" s="405" t="s">
        <v>1087</v>
      </c>
      <c r="S33" s="405"/>
      <c r="T33" s="827" t="s">
        <v>1085</v>
      </c>
      <c r="U33" s="405" t="s">
        <v>432</v>
      </c>
      <c r="V33" s="405" t="s">
        <v>1086</v>
      </c>
      <c r="W33" s="405"/>
      <c r="X33" s="827" t="s">
        <v>1088</v>
      </c>
      <c r="Y33" s="405" t="s">
        <v>1089</v>
      </c>
      <c r="Z33" s="932" t="s">
        <v>1090</v>
      </c>
      <c r="AA33" s="932" t="s">
        <v>1094</v>
      </c>
      <c r="AB33" s="944" t="s">
        <v>1089</v>
      </c>
      <c r="AC33" s="931" t="s">
        <v>1092</v>
      </c>
      <c r="AD33" s="406" t="s">
        <v>1093</v>
      </c>
      <c r="AE33" s="405" t="s">
        <v>1089</v>
      </c>
      <c r="AF33" s="321" t="s">
        <v>1096</v>
      </c>
      <c r="AJ33">
        <f>AJ32+1</f>
        <v>25</v>
      </c>
    </row>
    <row r="34" spans="1:36">
      <c r="A34" s="525">
        <v>1</v>
      </c>
      <c r="B34" s="422">
        <f>INT(INT(('The Text'!$I$1178-1)*金周率)/金日率)</f>
        <v>11772</v>
      </c>
      <c r="C34" s="526">
        <f>MOD(INT(('The Text'!$I$1178-1)*金周率),金日率)</f>
        <v>2668</v>
      </c>
      <c r="D34" s="933">
        <f>INT(C34/金周率)*-1-1</f>
        <v>-1</v>
      </c>
      <c r="E34" s="934" t="str">
        <f>CHOOSE(current.year-F34+1,"本年","前年","前前年","前前前年","前前前前年")</f>
        <v>前年</v>
      </c>
      <c r="F34" s="935">
        <f>current.year+D34</f>
        <v>131</v>
      </c>
      <c r="G34" s="934" t="str">
        <f>IF(ODD(B34)=B34,"晨","夕")</f>
        <v>夕</v>
      </c>
      <c r="H34" s="525">
        <f>金周率-MOD(C34,金周率)</f>
        <v>3162</v>
      </c>
      <c r="I34" s="531">
        <f>B34*金合積月+INT(B34*金月餘/金月法)</f>
        <v>116405</v>
      </c>
      <c r="J34" s="526">
        <f>MOD(B34*金月餘,金月法)</f>
        <v>101770</v>
      </c>
      <c r="K34" s="525">
        <f>MOD(I34,紀月)</f>
        <v>3605</v>
      </c>
      <c r="L34" s="936">
        <f>INT(K34*章閏/章月)</f>
        <v>107</v>
      </c>
      <c r="M34" s="526">
        <f>MOD(K34*章閏,章月)</f>
        <v>90</v>
      </c>
      <c r="N34" s="937">
        <f>MOD(MOD(K34-L34,12)+10,12)+1</f>
        <v>5</v>
      </c>
      <c r="O34" s="938" t="str">
        <f>CONCATENATE(IF(AND(M34&gt;223,M34&lt;232)=TRUE(),"閏",""),CHOOSE(N34,"正","二","三","四","五","六","七","八","九","十","十一","十二"),"月")</f>
        <v>五月</v>
      </c>
      <c r="P34" s="525">
        <f>INT(K34*蔀日/蔀月)</f>
        <v>106458</v>
      </c>
      <c r="Q34" s="526">
        <f>MOD(K34*蔀日,蔀月)</f>
        <v>675</v>
      </c>
      <c r="R34" s="531" t="str">
        <f>CONCATENATE(CHOOSE(MOD(S34,10)+1,"癸","甲","乙","丙","丁","戊","己","庚","辛","壬"),(CHOOSE(MOD(S34,12)+1,"亥","子","丑","寅","卯","辰","巳","午","未","申","酉","戌")))</f>
        <v>壬午</v>
      </c>
      <c r="S34" s="526">
        <f>MOD(P34,60)+1</f>
        <v>19</v>
      </c>
      <c r="T34" s="937">
        <f>INT(INT((J34*蔀日+Q34*金月法)/4465)/金日度法)</f>
        <v>27</v>
      </c>
      <c r="U34" s="526">
        <f>MOD(INT((J34*蔀日+Q34*金月法)/4465),金日度法)</f>
        <v>19812</v>
      </c>
      <c r="V34" s="531" t="str">
        <f>CONCATENATE(CHOOSE(MOD(W34,10)+1,"癸","甲","乙","丙","丁","戊","己","庚","辛","壬"),(CHOOSE(MOD(W34,12)+1,"亥","子","丑","寅","卯","辰","巳","午","未","申","酉","戌")))</f>
        <v>己酉</v>
      </c>
      <c r="W34" s="526">
        <f>MOD(S34+T34-1,60)+1</f>
        <v>46</v>
      </c>
      <c r="X34" s="531">
        <f>INT(H34*周天/金日度法)</f>
        <v>198</v>
      </c>
      <c r="Y34" s="526">
        <f>MOD(H34*周天,金日度法)</f>
        <v>2322</v>
      </c>
      <c r="Z34" s="936">
        <f>'The Text'!P1238</f>
        <v>23320</v>
      </c>
      <c r="AA34" s="531">
        <f>INT(MOD((X34+21)*Z34+ROUND(Y34*Z34/金日度法,0)+Z34/4,Z34*周天/日法)/Z34)</f>
        <v>219</v>
      </c>
      <c r="AB34" s="526">
        <f>MOD(MOD((X34+21)*Z34+ROUND(Y34*Z34/金日度法,0)+Z34/4,Z34*周天/日法),Z34)</f>
        <v>8152</v>
      </c>
      <c r="AC34" s="422" t="str">
        <f>INDEX(lodge.names,MATCH((AA34*Z34+AB34)/Z34,lodge.dipper.du,1))</f>
        <v>柳</v>
      </c>
      <c r="AD34" s="422">
        <f>INT(((AA34*Z34+AB34)-(INDEX(lodge.dipper.du,MATCH(AC34,lodge.names,0))*Z34))/Z34)</f>
        <v>4</v>
      </c>
      <c r="AE34" s="526">
        <f>MOD(((AA34*Z34+AB34)-(INDEX(lodge.dipper.du,MATCH(AC34,lodge.names,0))*Z34)),Z34)</f>
        <v>2322</v>
      </c>
      <c r="AF34">
        <f>INT(K34*紀法/紀月)</f>
        <v>291</v>
      </c>
      <c r="AG34">
        <f t="shared" ref="AG34:AG39" si="4">P34+T34</f>
        <v>106485</v>
      </c>
      <c r="AJ34">
        <f t="shared" si="1"/>
        <v>26</v>
      </c>
    </row>
    <row r="35" spans="1:36">
      <c r="A35">
        <f>A34+1</f>
        <v>2</v>
      </c>
      <c r="B35" s="321">
        <f>B34+1</f>
        <v>11773</v>
      </c>
      <c r="D35" s="945">
        <f>AF35-$D$3</f>
        <v>0</v>
      </c>
      <c r="E35" s="946" t="str">
        <f>IF(F35&lt;=current.year,CHOOSE(current.year-F35+1,"本年","前年","前前年","前前前年","前前前前年"),CHOOSE(F35-current.year,"後年","後後年","後後後年","後後後後年"))</f>
        <v>本年</v>
      </c>
      <c r="F35" s="947">
        <f>current.year+D35</f>
        <v>132</v>
      </c>
      <c r="G35" s="946" t="str">
        <f>IF(ODD(B35)=B35,"晨","夕")</f>
        <v>晨</v>
      </c>
      <c r="H35" s="940"/>
      <c r="I35" s="927">
        <f>INT(((I34+金合積月)*金月法+J34+金月餘)/金月法)</f>
        <v>116415</v>
      </c>
      <c r="J35" s="462">
        <f>MOD(J34+金月餘,金月法)</f>
        <v>89405</v>
      </c>
      <c r="K35" s="940">
        <f>MOD(I35,紀月)</f>
        <v>3615</v>
      </c>
      <c r="L35" s="941">
        <f>INT(K35*章閏/章月)</f>
        <v>107</v>
      </c>
      <c r="M35" s="572">
        <f>MOD(K35*章閏,章月)</f>
        <v>160</v>
      </c>
      <c r="N35" s="942">
        <f>MOD(MOD(K35-L35,12)+10,12)+1</f>
        <v>3</v>
      </c>
      <c r="O35" s="943" t="str">
        <f>CONCATENATE(IF(AND(M35&gt;223,M35&lt;232)=TRUE(),"閏",""),CHOOSE(N35,"正","二","三","四","五","六","七","八","九","十","十一","十二"),"月")</f>
        <v>三月</v>
      </c>
      <c r="P35" s="940">
        <f>INT(K35*蔀日/蔀月)</f>
        <v>106754</v>
      </c>
      <c r="Q35" s="572">
        <f>MOD(K35*蔀日,蔀月)</f>
        <v>25</v>
      </c>
      <c r="R35" s="752" t="str">
        <f>CONCATENATE(CHOOSE(MOD(S35,10)+1,"癸","甲","乙","丙","丁","戊","己","庚","辛","壬"),(CHOOSE(MOD(S35,12)+1,"亥","子","丑","寅","卯","辰","巳","午","未","申","酉","戌")))</f>
        <v>戊寅</v>
      </c>
      <c r="S35" s="572">
        <f>MOD(P35,60)+1</f>
        <v>15</v>
      </c>
      <c r="T35" s="942">
        <f>INT(INT((J35*蔀日+Q35*金月法)/4465)/金日度法)</f>
        <v>23</v>
      </c>
      <c r="U35" s="572">
        <f>MOD(INT((J35*蔀日+Q35*金月法)/4465),金日度法)</f>
        <v>20093</v>
      </c>
      <c r="V35" s="752" t="str">
        <f>CONCATENATE(CHOOSE(MOD(W35,10)+1,"癸","甲","乙","丙","丁","戊","己","庚","辛","壬"),(CHOOSE(MOD(W35,12)+1,"亥","子","丑","寅","卯","辰","巳","午","未","申","酉","戌")))</f>
        <v>辛丑</v>
      </c>
      <c r="W35" s="572">
        <f>MOD(S35+T35-1,60)+1</f>
        <v>38</v>
      </c>
      <c r="X35" s="942">
        <f>INT(MOD((X34+金積度)*金日度法+Y34+金度餘,金日度法*周天/日法)/金日度法)</f>
        <v>124</v>
      </c>
      <c r="Y35" s="572">
        <f>MOD(MOD((X34+金積度)*金日度法+Y34+金度餘,金日度法*周天/日法),金日度法)</f>
        <v>20093</v>
      </c>
      <c r="Z35" s="926">
        <f>Z34</f>
        <v>23320</v>
      </c>
      <c r="AA35" s="752">
        <f>INT(MOD((X35+21)*Z35+ROUND(Y35*Z35/金日度法,0)+Z35/4,Z35*周天/日法)/Z35)</f>
        <v>146</v>
      </c>
      <c r="AB35" s="572">
        <f>MOD(MOD((X35+21)*Z35+ROUND(Y35*Z35/金日度法,0)+Z35/4,Z35*周天/日法),Z35)</f>
        <v>2603</v>
      </c>
      <c r="AC35" s="320" t="str">
        <f>INDEX(lodge.names,MATCH((AA35*Z35+AB35)/Z35,lodge.dipper.du,1))</f>
        <v>昴</v>
      </c>
      <c r="AD35" s="320">
        <f>INT(((AA35*Z35+AB35)-(INDEX(lodge.dipper.du,MATCH(AC35,lodge.names,0))*Z35))/Z35)</f>
        <v>5</v>
      </c>
      <c r="AE35" s="572">
        <f>MOD(((AA35*Z35+AB35)-(INDEX(lodge.dipper.du,MATCH(AC35,lodge.names,0))*Z35)),Z35)</f>
        <v>20093</v>
      </c>
      <c r="AF35">
        <f>INT(K35*紀法/紀月)</f>
        <v>292</v>
      </c>
      <c r="AG35">
        <f t="shared" si="4"/>
        <v>106777</v>
      </c>
      <c r="AJ35">
        <f t="shared" si="1"/>
        <v>27</v>
      </c>
    </row>
    <row r="36" spans="1:36">
      <c r="A36">
        <f>A35+1</f>
        <v>3</v>
      </c>
      <c r="B36" s="321">
        <f>B35+1</f>
        <v>11774</v>
      </c>
      <c r="D36" s="945">
        <f>AF36-$D$3</f>
        <v>1</v>
      </c>
      <c r="E36" s="946" t="str">
        <f>IF(F36&lt;=current.year,CHOOSE(current.year-F36+1,"本年","前年","前前年","前前前年","前前前前年"),CHOOSE(F36-current.year,"後年","後後年","後後後年","後後後後年"))</f>
        <v>後年</v>
      </c>
      <c r="F36" s="947">
        <f>current.year+D36</f>
        <v>133</v>
      </c>
      <c r="G36" s="946" t="str">
        <f t="shared" ref="G36:G39" si="5">IF(ODD(B36)=B36,"晨","夕")</f>
        <v>夕</v>
      </c>
      <c r="H36" s="940"/>
      <c r="I36" s="927">
        <f>INT(((I35+金合積月)*金月法+J35+金月餘)/金月法)</f>
        <v>116425</v>
      </c>
      <c r="J36" s="462">
        <f>MOD(J35+金月餘,金月法)</f>
        <v>77040</v>
      </c>
      <c r="K36" s="940">
        <f>MOD(I36,紀月)</f>
        <v>3625</v>
      </c>
      <c r="L36" s="941">
        <f>INT(K36*章閏/章月)</f>
        <v>107</v>
      </c>
      <c r="M36" s="572">
        <f>MOD(K36*章閏,章月)</f>
        <v>230</v>
      </c>
      <c r="N36" s="942">
        <f>MOD(MOD(K36-L36,12)+10,12)+1</f>
        <v>1</v>
      </c>
      <c r="O36" s="943" t="str">
        <f>CONCATENATE(IF(AND(M36&gt;223,M36&lt;232)=TRUE(),"閏",""),CHOOSE(N36,"正","二","三","四","五","六","七","八","九","十","十一","十二"),"月")</f>
        <v>閏正月</v>
      </c>
      <c r="P36" s="940">
        <f>INT(K36*蔀日/蔀月)</f>
        <v>107049</v>
      </c>
      <c r="Q36" s="572">
        <f>MOD(K36*蔀日,蔀月)</f>
        <v>315</v>
      </c>
      <c r="R36" s="752" t="str">
        <f>CONCATENATE(CHOOSE(MOD(S36,10)+1,"癸","甲","乙","丙","丁","戊","己","庚","辛","壬"),(CHOOSE(MOD(S36,12)+1,"亥","子","丑","寅","卯","辰","巳","午","未","申","酉","戌")))</f>
        <v>癸酉</v>
      </c>
      <c r="S36" s="572">
        <f>MOD(P36,60)+1</f>
        <v>10</v>
      </c>
      <c r="T36" s="942">
        <f>INT(INT((J36*蔀日+Q36*金月法)/4465)/金日度法)</f>
        <v>20</v>
      </c>
      <c r="U36" s="572">
        <f>MOD(INT((J36*蔀日+Q36*金月法)/4465),金日度法)</f>
        <v>20374</v>
      </c>
      <c r="V36" s="752" t="str">
        <f>CONCATENATE(CHOOSE(MOD(W36,10)+1,"癸","甲","乙","丙","丁","戊","己","庚","辛","壬"),(CHOOSE(MOD(W36,12)+1,"亥","子","丑","寅","卯","辰","巳","午","未","申","酉","戌")))</f>
        <v>癸巳</v>
      </c>
      <c r="W36" s="572">
        <f>MOD(S36+T36-1,60)+1</f>
        <v>30</v>
      </c>
      <c r="X36" s="942">
        <f>INT(MOD((X35+金積度)*金日度法+Y35+金度餘,金日度法*周天/日法)/金日度法)</f>
        <v>51</v>
      </c>
      <c r="Y36" s="572">
        <f>MOD(MOD((X35+金積度)*金日度法+Y35+金度餘,金日度法*周天/日法),金日度法)</f>
        <v>14544</v>
      </c>
      <c r="Z36" s="926">
        <f>Z35</f>
        <v>23320</v>
      </c>
      <c r="AA36" s="752">
        <f>INT(MOD((X36+21)*Z36+ROUND(Y36*Z36/金日度法,0)+Z36/4,Z36*周天/日法)/Z36)</f>
        <v>72</v>
      </c>
      <c r="AB36" s="572">
        <f>MOD(MOD((X36+21)*Z36+ROUND(Y36*Z36/金日度法,0)+Z36/4,Z36*周天/日法),Z36)</f>
        <v>20374</v>
      </c>
      <c r="AC36" s="320" t="str">
        <f>INDEX(lodge.names,MATCH((AA36*Z36+AB36)/Z36,lodge.dipper.du,1))</f>
        <v>危</v>
      </c>
      <c r="AD36" s="320">
        <f>INT(((AA36*Z36+AB36)-(INDEX(lodge.dipper.du,MATCH(AC36,lodge.names,0))*Z36))/Z36)</f>
        <v>16</v>
      </c>
      <c r="AE36" s="572">
        <f>MOD(((AA36*Z36+AB36)-(INDEX(lodge.dipper.du,MATCH(AC36,lodge.names,0))*Z36)),Z36)</f>
        <v>14544</v>
      </c>
      <c r="AF36">
        <f>INT(K36*紀法/紀月)</f>
        <v>293</v>
      </c>
      <c r="AG36">
        <f t="shared" si="4"/>
        <v>107069</v>
      </c>
      <c r="AJ36">
        <f t="shared" si="1"/>
        <v>28</v>
      </c>
    </row>
    <row r="37" spans="1:36">
      <c r="A37">
        <f>A36+1</f>
        <v>4</v>
      </c>
      <c r="B37" s="321">
        <f>B36+1</f>
        <v>11775</v>
      </c>
      <c r="D37" s="945">
        <f>AF37-$D$3</f>
        <v>1</v>
      </c>
      <c r="E37" s="946" t="str">
        <f>IF(F37&lt;=current.year,CHOOSE(current.year-F37+1,"本年","前年","前前年","前前前年","前前前前年"),CHOOSE(F37-current.year,"後年","後後年","後後後年","後後後後年"))</f>
        <v>後年</v>
      </c>
      <c r="F37" s="947">
        <f>current.year+D37</f>
        <v>133</v>
      </c>
      <c r="G37" s="946" t="str">
        <f t="shared" si="5"/>
        <v>晨</v>
      </c>
      <c r="H37" s="940"/>
      <c r="I37" s="927">
        <f>INT(((I36+金合積月)*金月法+J36+金月餘)/金月法)</f>
        <v>116435</v>
      </c>
      <c r="J37" s="462">
        <f>MOD(J36+金月餘,金月法)</f>
        <v>64675</v>
      </c>
      <c r="K37" s="940">
        <f>MOD(I37,紀月)</f>
        <v>3635</v>
      </c>
      <c r="L37" s="941">
        <f>INT(K37*章閏/章月)</f>
        <v>108</v>
      </c>
      <c r="M37" s="572">
        <f>MOD(K37*章閏,章月)</f>
        <v>65</v>
      </c>
      <c r="N37" s="942">
        <f>MOD(MOD(K37-L37,12)+10,12)+1</f>
        <v>10</v>
      </c>
      <c r="O37" s="943" t="str">
        <f>CONCATENATE(IF(AND(M37&gt;223,M37&lt;232)=TRUE(),"閏",""),CHOOSE(N37,"正","二","三","四","五","六","七","八","九","十","十一","十二"),"月")</f>
        <v>十月</v>
      </c>
      <c r="P37" s="940">
        <f>INT(K37*蔀日/蔀月)</f>
        <v>107344</v>
      </c>
      <c r="Q37" s="572">
        <f>MOD(K37*蔀日,蔀月)</f>
        <v>605</v>
      </c>
      <c r="R37" s="752" t="str">
        <f>CONCATENATE(CHOOSE(MOD(S37,10)+1,"癸","甲","乙","丙","丁","戊","己","庚","辛","壬"),(CHOOSE(MOD(S37,12)+1,"亥","子","丑","寅","卯","辰","巳","午","未","申","酉","戌")))</f>
        <v>戊辰</v>
      </c>
      <c r="S37" s="572">
        <f>MOD(P37,60)+1</f>
        <v>5</v>
      </c>
      <c r="T37" s="942">
        <f>INT(INT((J37*蔀日+Q37*金月法)/4465)/金日度法)</f>
        <v>17</v>
      </c>
      <c r="U37" s="572">
        <f>MOD(INT((J37*蔀日+Q37*金月法)/4465),金日度法)</f>
        <v>20655</v>
      </c>
      <c r="V37" s="752" t="str">
        <f>CONCATENATE(CHOOSE(MOD(W37,10)+1,"癸","甲","乙","丙","丁","戊","己","庚","辛","壬"),(CHOOSE(MOD(W37,12)+1,"亥","子","丑","寅","卯","辰","巳","午","未","申","酉","戌")))</f>
        <v>乙酉</v>
      </c>
      <c r="W37" s="572">
        <f>MOD(S37+T37-1,60)+1</f>
        <v>22</v>
      </c>
      <c r="X37" s="942">
        <f>INT(MOD((X36+金積度)*金日度法+Y36+金度餘,金日度法*周天/日法)/金日度法)</f>
        <v>343</v>
      </c>
      <c r="Y37" s="572">
        <f>MOD(MOD((X36+金積度)*金日度法+Y36+金度餘,金日度法*周天/日法),金日度法)</f>
        <v>14825</v>
      </c>
      <c r="Z37" s="926">
        <f>Z36</f>
        <v>23320</v>
      </c>
      <c r="AA37" s="752">
        <f>INT(MOD((X37+21)*Z37+ROUND(Y37*Z37/金日度法,0)+Z37/4,Z37*周天/日法)/Z37)</f>
        <v>364</v>
      </c>
      <c r="AB37" s="572">
        <f>MOD(MOD((X37+21)*Z37+ROUND(Y37*Z37/金日度法,0)+Z37/4,Z37*周天/日法),Z37)</f>
        <v>20655</v>
      </c>
      <c r="AC37" s="320" t="str">
        <f>INDEX(lodge.names,MATCH((AA37*Z37+AB37)/Z37,lodge.dipper.du,1))</f>
        <v>箕</v>
      </c>
      <c r="AD37" s="320">
        <f>INT(((AA37*Z37+AB37)-(INDEX(lodge.dipper.du,MATCH(AC37,lodge.names,0))*Z37))/Z37)</f>
        <v>10</v>
      </c>
      <c r="AE37" s="572">
        <f>MOD(((AA37*Z37+AB37)-(INDEX(lodge.dipper.du,MATCH(AC37,lodge.names,0))*Z37)),Z37)</f>
        <v>14825</v>
      </c>
      <c r="AF37">
        <f>INT(K37*紀法/紀月)</f>
        <v>293</v>
      </c>
      <c r="AG37">
        <f t="shared" si="4"/>
        <v>107361</v>
      </c>
      <c r="AJ37">
        <f>AJ36+1</f>
        <v>29</v>
      </c>
    </row>
    <row r="38" spans="1:36">
      <c r="A38">
        <f>A37+1</f>
        <v>5</v>
      </c>
      <c r="B38" s="321">
        <f>B37+1</f>
        <v>11776</v>
      </c>
      <c r="D38" s="945">
        <f>AF38-$D$3</f>
        <v>2</v>
      </c>
      <c r="E38" s="946" t="str">
        <f>IF(F38&lt;=current.year,CHOOSE(current.year-F38+1,"本年","前年","前前年","前前前年","前前前前年"),CHOOSE(F38-current.year,"後年","後後年","後後後年","後後後後年"))</f>
        <v>後後年</v>
      </c>
      <c r="F38" s="947">
        <f>current.year+D38</f>
        <v>134</v>
      </c>
      <c r="G38" s="946" t="str">
        <f t="shared" si="5"/>
        <v>夕</v>
      </c>
      <c r="H38" s="940"/>
      <c r="I38" s="927">
        <f>INT(((I37+金合積月)*金月法+J37+金月餘)/金月法)</f>
        <v>116445</v>
      </c>
      <c r="J38" s="462">
        <f>MOD(J37+金月餘,金月法)</f>
        <v>52310</v>
      </c>
      <c r="K38" s="940">
        <f>MOD(I38,紀月)</f>
        <v>3645</v>
      </c>
      <c r="L38" s="941">
        <f>INT(K38*章閏/章月)</f>
        <v>108</v>
      </c>
      <c r="M38" s="572">
        <f>MOD(K38*章閏,章月)</f>
        <v>135</v>
      </c>
      <c r="N38" s="942">
        <f>MOD(MOD(K38-L38,12)+10,12)+1</f>
        <v>8</v>
      </c>
      <c r="O38" s="943" t="str">
        <f>CONCATENATE(IF(AND(M38&gt;223,M38&lt;232)=TRUE(),"閏",""),CHOOSE(N38,"正","二","三","四","五","六","七","八","九","十","十一","十二"),"月")</f>
        <v>八月</v>
      </c>
      <c r="P38" s="940">
        <f>INT(K38*蔀日/蔀月)</f>
        <v>107639</v>
      </c>
      <c r="Q38" s="572">
        <f>MOD(K38*蔀日,蔀月)</f>
        <v>895</v>
      </c>
      <c r="R38" s="752" t="str">
        <f>CONCATENATE(CHOOSE(MOD(S38,10)+1,"癸","甲","乙","丙","丁","戊","己","庚","辛","壬"),(CHOOSE(MOD(S38,12)+1,"亥","子","丑","寅","卯","辰","巳","午","未","申","酉","戌")))</f>
        <v>癸亥</v>
      </c>
      <c r="S38" s="572">
        <f>MOD(P38,60)+1</f>
        <v>60</v>
      </c>
      <c r="T38" s="942">
        <f>INT(INT((J38*蔀日+Q38*金月法)/4465)/金日度法)</f>
        <v>14</v>
      </c>
      <c r="U38" s="572">
        <f>MOD(INT((J38*蔀日+Q38*金月法)/4465),金日度法)</f>
        <v>20936</v>
      </c>
      <c r="V38" s="752" t="str">
        <f>CONCATENATE(CHOOSE(MOD(W38,10)+1,"癸","甲","乙","丙","丁","戊","己","庚","辛","壬"),(CHOOSE(MOD(W38,12)+1,"亥","子","丑","寅","卯","辰","巳","午","未","申","酉","戌")))</f>
        <v>丁丑</v>
      </c>
      <c r="W38" s="572">
        <f>MOD(S38+T38-1,60)+1</f>
        <v>14</v>
      </c>
      <c r="X38" s="942">
        <f>INT(MOD((X37+金積度)*金日度法+Y37+金度餘,金日度法*周天/日法)/金日度法)</f>
        <v>270</v>
      </c>
      <c r="Y38" s="572">
        <f>MOD(MOD((X37+金積度)*金日度法+Y37+金度餘,金日度法*周天/日法),金日度法)</f>
        <v>9276</v>
      </c>
      <c r="Z38" s="926">
        <f>Z37</f>
        <v>23320</v>
      </c>
      <c r="AA38" s="752">
        <f>INT(MOD((X38+21)*Z38+ROUND(Y38*Z38/金日度法,0)+Z38/4,Z38*周天/日法)/Z38)</f>
        <v>291</v>
      </c>
      <c r="AB38" s="572">
        <f>MOD(MOD((X38+21)*Z38+ROUND(Y38*Z38/金日度法,0)+Z38/4,Z38*周天/日法),Z38)</f>
        <v>15106</v>
      </c>
      <c r="AC38" s="320" t="str">
        <f>INDEX(lodge.names,MATCH((AA38*Z38+AB38)/Z38,lodge.dipper.du,1))</f>
        <v>角</v>
      </c>
      <c r="AD38" s="320">
        <f>INT(((AA38*Z38+AB38)-(INDEX(lodge.dipper.du,MATCH(AC38,lodge.names,0))*Z38))/Z38)</f>
        <v>1</v>
      </c>
      <c r="AE38" s="572">
        <f>MOD(((AA38*Z38+AB38)-(INDEX(lodge.dipper.du,MATCH(AC38,lodge.names,0))*Z38)),Z38)</f>
        <v>9276</v>
      </c>
      <c r="AF38">
        <f>INT(K38*紀法/紀月)</f>
        <v>294</v>
      </c>
      <c r="AG38">
        <f t="shared" si="4"/>
        <v>107653</v>
      </c>
      <c r="AJ38">
        <f t="shared" si="1"/>
        <v>30</v>
      </c>
    </row>
    <row r="39" spans="1:36">
      <c r="A39">
        <f>A38+1</f>
        <v>6</v>
      </c>
      <c r="B39" s="321">
        <f>B38+1</f>
        <v>11777</v>
      </c>
      <c r="D39" s="945">
        <f>AF39-$D$3</f>
        <v>3</v>
      </c>
      <c r="E39" s="946" t="str">
        <f>IF(F39&lt;=current.year,CHOOSE(current.year-F39+1,"本年","前年","前前年","前前前年","前前前前年"),CHOOSE(F39-current.year,"後年","後後年","後後後年","後後後後年"))</f>
        <v>後後後年</v>
      </c>
      <c r="F39" s="947">
        <f>current.year+D39</f>
        <v>135</v>
      </c>
      <c r="G39" s="946" t="str">
        <f t="shared" si="5"/>
        <v>晨</v>
      </c>
      <c r="H39" s="940"/>
      <c r="I39" s="927">
        <f>INT(((I38+金合積月)*金月法+J38+金月餘)/金月法)</f>
        <v>116455</v>
      </c>
      <c r="J39" s="462">
        <f>MOD(J38+金月餘,金月法)</f>
        <v>39945</v>
      </c>
      <c r="K39" s="940">
        <f>MOD(I39,紀月)</f>
        <v>3655</v>
      </c>
      <c r="L39" s="941">
        <f>INT(K39*章閏/章月)</f>
        <v>108</v>
      </c>
      <c r="M39" s="572">
        <f>MOD(K39*章閏,章月)</f>
        <v>205</v>
      </c>
      <c r="N39" s="942">
        <f>MOD(MOD(K39-L39,12)+10,12)+1</f>
        <v>6</v>
      </c>
      <c r="O39" s="943" t="str">
        <f>CONCATENATE(IF(AND(M39&gt;223,M39&lt;232)=TRUE(),"閏",""),CHOOSE(N39,"正","二","三","四","五","六","七","八","九","十","十一","十二"),"月")</f>
        <v>六月</v>
      </c>
      <c r="P39" s="940">
        <f>INT(K39*蔀日/蔀月)</f>
        <v>107935</v>
      </c>
      <c r="Q39" s="572">
        <f>MOD(K39*蔀日,蔀月)</f>
        <v>245</v>
      </c>
      <c r="R39" s="752" t="str">
        <f>CONCATENATE(CHOOSE(MOD(S39,10)+1,"癸","甲","乙","丙","丁","戊","己","庚","辛","壬"),(CHOOSE(MOD(S39,12)+1,"亥","子","丑","寅","卯","辰","巳","午","未","申","酉","戌")))</f>
        <v>己未</v>
      </c>
      <c r="S39" s="572">
        <f>MOD(P39,60)+1</f>
        <v>56</v>
      </c>
      <c r="T39" s="942">
        <f>INT(INT((J39*蔀日+Q39*金月法)/4465)/金日度法)</f>
        <v>10</v>
      </c>
      <c r="U39" s="572">
        <f>MOD(INT((J39*蔀日+Q39*金月法)/4465),金日度法)</f>
        <v>21217</v>
      </c>
      <c r="V39" s="752" t="str">
        <f>CONCATENATE(CHOOSE(MOD(W39,10)+1,"癸","甲","乙","丙","丁","戊","己","庚","辛","壬"),(CHOOSE(MOD(W39,12)+1,"亥","子","丑","寅","卯","辰","巳","午","未","申","酉","戌")))</f>
        <v>己巳</v>
      </c>
      <c r="W39" s="572">
        <f>MOD(S39+T39-1,60)+1</f>
        <v>6</v>
      </c>
      <c r="X39" s="942">
        <f>INT(MOD((X38+金積度)*金日度法+Y38+金度餘,金日度法*周天/日法)/金日度法)</f>
        <v>197</v>
      </c>
      <c r="Y39" s="572">
        <f>MOD(MOD((X38+金積度)*金日度法+Y38+金度餘,金日度法*周天/日法),金日度法)</f>
        <v>3727</v>
      </c>
      <c r="Z39" s="926">
        <f>Z38</f>
        <v>23320</v>
      </c>
      <c r="AA39" s="752">
        <f>INT(MOD((X39+21)*Z39+ROUND(Y39*Z39/金日度法,0)+Z39/4,Z39*周天/日法)/Z39)</f>
        <v>218</v>
      </c>
      <c r="AB39" s="572">
        <f>MOD(MOD((X39+21)*Z39+ROUND(Y39*Z39/金日度法,0)+Z39/4,Z39*周天/日法),Z39)</f>
        <v>9557</v>
      </c>
      <c r="AC39" s="320" t="str">
        <f>INDEX(lodge.names,MATCH((AA39*Z39+AB39)/Z39,lodge.dipper.du,1))</f>
        <v>柳</v>
      </c>
      <c r="AD39" s="320">
        <f>INT(((AA39*Z39+AB39)-(INDEX(lodge.dipper.du,MATCH(AC39,lodge.names,0))*Z39))/Z39)</f>
        <v>3</v>
      </c>
      <c r="AE39" s="572">
        <f>MOD(((AA39*Z39+AB39)-(INDEX(lodge.dipper.du,MATCH(AC39,lodge.names,0))*Z39)),Z39)</f>
        <v>3727</v>
      </c>
      <c r="AF39">
        <f>INT(K39*紀法/紀月)</f>
        <v>295</v>
      </c>
      <c r="AG39">
        <f t="shared" si="4"/>
        <v>107945</v>
      </c>
    </row>
    <row r="40" spans="1:36">
      <c r="G40" s="926"/>
    </row>
    <row r="42" spans="1:36">
      <c r="B42" s="405" t="s">
        <v>188</v>
      </c>
    </row>
    <row r="44" spans="1:36">
      <c r="B44" s="406" t="s">
        <v>1077</v>
      </c>
      <c r="C44" s="405" t="s">
        <v>1078</v>
      </c>
      <c r="D44" s="827" t="s">
        <v>807</v>
      </c>
      <c r="E44" s="928"/>
      <c r="F44" s="929"/>
      <c r="G44" s="948" t="s">
        <v>1098</v>
      </c>
      <c r="H44" s="405" t="s">
        <v>1079</v>
      </c>
      <c r="I44" s="827" t="s">
        <v>806</v>
      </c>
      <c r="J44" s="405" t="s">
        <v>431</v>
      </c>
      <c r="K44" s="406" t="s">
        <v>1080</v>
      </c>
      <c r="L44" s="930" t="s">
        <v>1082</v>
      </c>
      <c r="M44" s="405" t="s">
        <v>1081</v>
      </c>
      <c r="N44" s="827" t="s">
        <v>1083</v>
      </c>
      <c r="O44" s="929"/>
      <c r="P44" s="406" t="s">
        <v>1084</v>
      </c>
      <c r="Q44" s="405" t="s">
        <v>101</v>
      </c>
      <c r="R44" s="405" t="s">
        <v>1087</v>
      </c>
      <c r="S44" s="405"/>
      <c r="T44" s="827" t="s">
        <v>1085</v>
      </c>
      <c r="U44" s="405" t="s">
        <v>432</v>
      </c>
      <c r="V44" s="405" t="s">
        <v>1086</v>
      </c>
      <c r="W44" s="405"/>
      <c r="X44" s="827" t="s">
        <v>1088</v>
      </c>
      <c r="Y44" s="405" t="s">
        <v>1089</v>
      </c>
      <c r="Z44" s="932" t="s">
        <v>1090</v>
      </c>
      <c r="AA44" s="932" t="s">
        <v>1094</v>
      </c>
      <c r="AB44" s="944" t="s">
        <v>1089</v>
      </c>
      <c r="AC44" s="931" t="s">
        <v>1092</v>
      </c>
      <c r="AD44" s="406" t="s">
        <v>1093</v>
      </c>
      <c r="AE44" s="405" t="s">
        <v>1089</v>
      </c>
      <c r="AF44" s="321" t="s">
        <v>1096</v>
      </c>
    </row>
    <row r="45" spans="1:36">
      <c r="A45" s="525">
        <v>1</v>
      </c>
      <c r="B45" s="422">
        <f>INT(INT(('The Text'!$I$1178-1)*水周率)/水日率)</f>
        <v>59331</v>
      </c>
      <c r="C45" s="526">
        <f>MOD(INT(('The Text'!$I$1178-1)*水周率),水日率)</f>
        <v>1837</v>
      </c>
      <c r="D45" s="933">
        <f>INT(C45/水周率)*-1-1</f>
        <v>-1</v>
      </c>
      <c r="E45" s="934" t="str">
        <f>CHOOSE(current.year-F45+1,"本年","前年","前前年","前前前年","前前前前年")</f>
        <v>前年</v>
      </c>
      <c r="F45" s="935">
        <f>current.year+D45</f>
        <v>131</v>
      </c>
      <c r="G45" s="934" t="str">
        <f>IF(ODD(B45)=B45,"晨","夕")</f>
        <v>晨</v>
      </c>
      <c r="H45" s="525">
        <f>水周率-MOD(C45,水周率)</f>
        <v>10071</v>
      </c>
      <c r="I45" s="531">
        <f>B45*水合積月+INT(B45*水月餘/水月法)</f>
        <v>116409</v>
      </c>
      <c r="J45" s="526">
        <f>MOD(B45*水月餘,水月法)</f>
        <v>151797</v>
      </c>
      <c r="K45" s="525">
        <f>MOD(I45,紀月)</f>
        <v>3609</v>
      </c>
      <c r="L45" s="936">
        <f>INT(K45*章閏/章月)</f>
        <v>107</v>
      </c>
      <c r="M45" s="526">
        <f>MOD(K45*章閏,章月)</f>
        <v>118</v>
      </c>
      <c r="N45" s="937">
        <f>MOD(MOD(K45-L45,12)+10,12)+1</f>
        <v>9</v>
      </c>
      <c r="O45" s="938" t="str">
        <f>CONCATENATE(IF(AND(M45&gt;223,M45&lt;232)=TRUE(),"閏",""),CHOOSE(N45,"正","二","三","四","五","六","七","八","九","十","十一","十二"),"月")</f>
        <v>九月</v>
      </c>
      <c r="P45" s="525">
        <f>INT(K45*蔀日/蔀月)</f>
        <v>106576</v>
      </c>
      <c r="Q45" s="526">
        <f>MOD(K45*蔀日,蔀月)</f>
        <v>791</v>
      </c>
      <c r="R45" s="531" t="str">
        <f>CONCATENATE(CHOOSE(MOD(S45,10)+1,"癸","甲","乙","丙","丁","戊","己","庚","辛","壬"),(CHOOSE(MOD(S45,12)+1,"亥","子","丑","寅","卯","辰","巳","午","未","申","酉","戌")))</f>
        <v>庚辰</v>
      </c>
      <c r="S45" s="526">
        <f>MOD(P45,60)+1</f>
        <v>17</v>
      </c>
      <c r="T45" s="937">
        <f>INT(INT((J45*蔀日+Q45*水月法)/4465)/水日度法)</f>
        <v>20</v>
      </c>
      <c r="U45" s="526">
        <f>MOD(INT((J45*蔀日+Q45*水月法)/4465),水日度法)</f>
        <v>31167</v>
      </c>
      <c r="V45" s="531" t="str">
        <f>CONCATENATE(CHOOSE(MOD(W45,10)+1,"癸","甲","乙","丙","丁","戊","己","庚","辛","壬"),(CHOOSE(MOD(W45,12)+1,"亥","子","丑","寅","卯","辰","巳","午","未","申","酉","戌")))</f>
        <v>庚子</v>
      </c>
      <c r="W45" s="526">
        <f>MOD(S45+T45-1,60)+1</f>
        <v>37</v>
      </c>
      <c r="X45" s="531">
        <f>INT(H45*周天/水日度法)</f>
        <v>308</v>
      </c>
      <c r="Y45" s="526">
        <f>MOD(H45*周天,水日度法)</f>
        <v>43075</v>
      </c>
      <c r="Z45" s="936">
        <f>'The Text'!R1238</f>
        <v>47632</v>
      </c>
      <c r="AA45" s="531">
        <f>INT(MOD((X45+21)*Z45+ROUND(Y45*Z45/水日度法,0)+Z45/4,Z45*周天/日法)/Z45)</f>
        <v>330</v>
      </c>
      <c r="AB45" s="526">
        <f>MOD(MOD((X45+21)*Z45+ROUND(Y45*Z45/水日度法,0)+Z45/4,Z45*周天/日法),Z45)</f>
        <v>7351</v>
      </c>
      <c r="AC45" s="422" t="str">
        <f>INDEX(lodge.names,MATCH((AA45*Z45+AB45)/Z45,lodge.dipper.du,1))</f>
        <v>房</v>
      </c>
      <c r="AD45" s="422">
        <f>INT(((AA45*Z45+AB45)-(INDEX(lodge.dipper.du,MATCH(AC45,lodge.names,0))*Z45))/Z45)</f>
        <v>3</v>
      </c>
      <c r="AE45" s="526">
        <f>MOD(((AA45*Z45+AB45)-(INDEX(lodge.dipper.du,MATCH(AC45,lodge.names,0))*Z45)),Z45)</f>
        <v>43075</v>
      </c>
      <c r="AF45">
        <f>INT(K45*紀法/紀月)</f>
        <v>291</v>
      </c>
      <c r="AG45">
        <f t="shared" ref="AG45:AG54" si="6">P45+T45</f>
        <v>106596</v>
      </c>
    </row>
    <row r="46" spans="1:36">
      <c r="A46">
        <f>A45+1</f>
        <v>2</v>
      </c>
      <c r="B46" s="321">
        <f>B45+1</f>
        <v>59332</v>
      </c>
      <c r="D46" s="945">
        <f>AF46-$D$3</f>
        <v>-1</v>
      </c>
      <c r="E46" s="946" t="str">
        <f>IF(F46&lt;=current.year,CHOOSE(current.year-F46+1,"本年","前年","前前年","前前前年","前前前前年"),CHOOSE(F46-current.year,"後年","後後年","後後後年","後後後後年"))</f>
        <v>前年</v>
      </c>
      <c r="F46" s="947">
        <f>current.year+D46</f>
        <v>131</v>
      </c>
      <c r="G46" s="946" t="str">
        <f t="shared" ref="G46:G54" si="7">IF(ODD(B46)=B46,"晨","夕")</f>
        <v>夕</v>
      </c>
      <c r="H46" s="940"/>
      <c r="I46" s="927">
        <f>INT(((I45+水合積月)*水月法+J45+水月餘)/水月法)</f>
        <v>116411</v>
      </c>
      <c r="J46" s="462">
        <f>MOD(J45+水月餘,水月法)</f>
        <v>143208</v>
      </c>
      <c r="K46" s="940">
        <f>MOD(I46,紀月)</f>
        <v>3611</v>
      </c>
      <c r="L46" s="941">
        <f>INT(K46*章閏/章月)</f>
        <v>107</v>
      </c>
      <c r="M46" s="572">
        <f>MOD(K46*章閏,章月)</f>
        <v>132</v>
      </c>
      <c r="N46" s="942">
        <f>MOD(MOD(K46-L46,12)+10,12)+1</f>
        <v>11</v>
      </c>
      <c r="O46" s="943" t="str">
        <f>CONCATENATE(IF(AND(M46&gt;223,M46&lt;232)=TRUE(),"閏",""),CHOOSE(N46,"正","二","三","四","五","六","七","八","九","十","十一","十二"),"月")</f>
        <v>十一月</v>
      </c>
      <c r="P46" s="940">
        <f>INT(K46*蔀日/蔀月)</f>
        <v>106635</v>
      </c>
      <c r="Q46" s="572">
        <f>MOD(K46*蔀日,蔀月)</f>
        <v>849</v>
      </c>
      <c r="R46" s="752" t="str">
        <f>CONCATENATE(CHOOSE(MOD(S46,10)+1,"癸","甲","乙","丙","丁","戊","己","庚","辛","壬"),(CHOOSE(MOD(S46,12)+1,"亥","子","丑","寅","卯","辰","巳","午","未","申","酉","戌")))</f>
        <v>己卯</v>
      </c>
      <c r="S46" s="572">
        <f>MOD(P46,60)+1</f>
        <v>16</v>
      </c>
      <c r="T46" s="942">
        <f>INT(INT((J46*蔀日+Q46*水月法)/4465)/水日度法)</f>
        <v>19</v>
      </c>
      <c r="U46" s="572">
        <f>MOD(INT((J46*蔀日+Q46*水月法)/4465),水日度法)</f>
        <v>28340</v>
      </c>
      <c r="V46" s="752" t="str">
        <f>CONCATENATE(CHOOSE(MOD(W46,10)+1,"癸","甲","乙","丙","丁","戊","己","庚","辛","壬"),(CHOOSE(MOD(W46,12)+1,"亥","子","丑","寅","卯","辰","巳","午","未","申","酉","戌")))</f>
        <v>戊戌</v>
      </c>
      <c r="W46" s="572">
        <f>MOD(S46+T46-1,60)+1</f>
        <v>35</v>
      </c>
      <c r="X46" s="942">
        <f>INT(MOD((X45+水積度)*水日度法+Y45+水度餘,水日度法*周天/日法)/水日度法)</f>
        <v>1</v>
      </c>
      <c r="Y46" s="572">
        <f>MOD(MOD((X45+水積度)*水日度法+Y45+水度餘,水日度法*周天/日法),水日度法)</f>
        <v>28340</v>
      </c>
      <c r="Z46" s="926">
        <f>Z45</f>
        <v>47632</v>
      </c>
      <c r="AA46" s="752">
        <f>INT(MOD((X46+21)*Z46+ROUND(Y46*Z46/水日度法,0)+Z46/4,Z46*周天/日法)/Z46)</f>
        <v>22</v>
      </c>
      <c r="AB46" s="572">
        <f>MOD(MOD((X46+21)*Z46+ROUND(Y46*Z46/水日度法,0)+Z46/4,Z46*周天/日法),Z46)</f>
        <v>40248</v>
      </c>
      <c r="AC46" s="320" t="str">
        <f>INDEX(lodge.names,MATCH((AA46*Z46+AB46)/Z46,lodge.dipper.du,1))</f>
        <v>斗</v>
      </c>
      <c r="AD46" s="320">
        <f>INT(((AA46*Z46+AB46)-(INDEX(lodge.dipper.du,MATCH(AC46,lodge.names,0))*Z46))/Z46)</f>
        <v>22</v>
      </c>
      <c r="AE46" s="572">
        <f>MOD(((AA46*Z46+AB46)-(INDEX(lodge.dipper.du,MATCH(AC46,lodge.names,0))*Z46)),Z46)</f>
        <v>40248</v>
      </c>
      <c r="AF46">
        <f>INT(K46*紀法/紀月)</f>
        <v>291</v>
      </c>
      <c r="AG46">
        <f t="shared" si="6"/>
        <v>106654</v>
      </c>
    </row>
    <row r="47" spans="1:36">
      <c r="A47">
        <f t="shared" ref="A47:A50" si="8">A46+1</f>
        <v>3</v>
      </c>
      <c r="B47" s="321">
        <f t="shared" ref="B47:B50" si="9">B46+1</f>
        <v>59333</v>
      </c>
      <c r="D47" s="945">
        <f t="shared" ref="D47:D50" si="10">AF47-$D$3</f>
        <v>0</v>
      </c>
      <c r="E47" s="946" t="str">
        <f>IF(F47&lt;=current.year,CHOOSE(current.year-F47+1,"本年","前年","前前年","前前前年","前前前前年"),CHOOSE(F47-current.year,"後年","後後年","後後後年","後後後後年"))</f>
        <v>本年</v>
      </c>
      <c r="F47" s="947">
        <f>current.year+D47</f>
        <v>132</v>
      </c>
      <c r="G47" s="946" t="str">
        <f t="shared" si="7"/>
        <v>晨</v>
      </c>
      <c r="H47" s="940"/>
      <c r="I47" s="927">
        <f>INT(((I46+水合積月)*水月法+J46+水月餘)/水月法)</f>
        <v>116413</v>
      </c>
      <c r="J47" s="462">
        <f>MOD(J46+水月餘,水月法)</f>
        <v>134619</v>
      </c>
      <c r="K47" s="940">
        <f>MOD(I47,紀月)</f>
        <v>3613</v>
      </c>
      <c r="L47" s="941">
        <f>INT(K47*章閏/章月)</f>
        <v>107</v>
      </c>
      <c r="M47" s="572">
        <f>MOD(K47*章閏,章月)</f>
        <v>146</v>
      </c>
      <c r="N47" s="942">
        <f t="shared" ref="N47:N50" si="11">MOD(MOD(K47-L47,12)+10,12)+1</f>
        <v>1</v>
      </c>
      <c r="O47" s="943" t="str">
        <f t="shared" ref="O47:O50" si="12">CONCATENATE(IF(AND(M47&gt;223,M47&lt;232)=TRUE(),"閏",""),CHOOSE(N47,"正","二","三","四","五","六","七","八","九","十","十一","十二"),"月")</f>
        <v>正月</v>
      </c>
      <c r="P47" s="940">
        <f>INT(K47*蔀日/蔀月)</f>
        <v>106694</v>
      </c>
      <c r="Q47" s="572">
        <f>MOD(K47*蔀日,蔀月)</f>
        <v>907</v>
      </c>
      <c r="R47" s="752" t="str">
        <f t="shared" ref="R47:R55" si="13">CONCATENATE(CHOOSE(MOD(S47,10)+1,"癸","甲","乙","丙","丁","戊","己","庚","辛","壬"),(CHOOSE(MOD(S47,12)+1,"亥","子","丑","寅","卯","辰","巳","午","未","申","酉","戌")))</f>
        <v>戊寅</v>
      </c>
      <c r="S47" s="572">
        <f t="shared" ref="S47:S50" si="14">MOD(P47,60)+1</f>
        <v>15</v>
      </c>
      <c r="T47" s="942">
        <f>INT(INT((J47*蔀日+Q47*水月法)/4465)/水日度法)</f>
        <v>18</v>
      </c>
      <c r="U47" s="572">
        <f>MOD(INT((J47*蔀日+Q47*水月法)/4465),水日度法)</f>
        <v>25513</v>
      </c>
      <c r="V47" s="752" t="str">
        <f t="shared" ref="V47:V55" si="15">CONCATENATE(CHOOSE(MOD(W47,10)+1,"癸","甲","乙","丙","丁","戊","己","庚","辛","壬"),(CHOOSE(MOD(W47,12)+1,"亥","子","丑","寅","卯","辰","巳","午","未","申","酉","戌")))</f>
        <v>丙申</v>
      </c>
      <c r="W47" s="572">
        <f t="shared" ref="W47:W50" si="16">MOD(S47+T47-1,60)+1</f>
        <v>33</v>
      </c>
      <c r="X47" s="942">
        <f>INT(MOD((X46+水積度)*水日度法+Y46+水度餘,水日度法*周天/日法)/水日度法)</f>
        <v>59</v>
      </c>
      <c r="Y47" s="572">
        <f>MOD(MOD((X46+水積度)*水日度法+Y46+水度餘,水日度法*周天/日法),水日度法)</f>
        <v>25513</v>
      </c>
      <c r="Z47" s="926">
        <f t="shared" ref="Z47:Z50" si="17">Z46</f>
        <v>47632</v>
      </c>
      <c r="AA47" s="752">
        <f>INT(MOD((X47+21)*Z47+ROUND(Y47*Z47/水日度法,0)+Z47/4,Z47*周天/日法)/Z47)</f>
        <v>80</v>
      </c>
      <c r="AB47" s="572">
        <f>MOD(MOD((X47+21)*Z47+ROUND(Y47*Z47/水日度法,0)+Z47/4,Z47*周天/日法),Z47)</f>
        <v>37421</v>
      </c>
      <c r="AC47" s="320" t="str">
        <f>INDEX(lodge.names,MATCH((AA47*Z47+AB47)/Z47,lodge.dipper.du,1))</f>
        <v>室</v>
      </c>
      <c r="AD47" s="320">
        <f>INT(((AA47*Z47+AB47)-(INDEX(lodge.dipper.du,MATCH(AC47,lodge.names,0))*Z47))/Z47)</f>
        <v>7</v>
      </c>
      <c r="AE47" s="572">
        <f>MOD(((AA47*Z47+AB47)-(INDEX(lodge.dipper.du,MATCH(AC47,lodge.names,0))*Z47)),Z47)</f>
        <v>25513</v>
      </c>
      <c r="AF47">
        <f>INT(K47*紀法/紀月)</f>
        <v>292</v>
      </c>
      <c r="AG47">
        <f t="shared" si="6"/>
        <v>106712</v>
      </c>
    </row>
    <row r="48" spans="1:36">
      <c r="A48">
        <f t="shared" si="8"/>
        <v>4</v>
      </c>
      <c r="B48" s="321">
        <f t="shared" si="9"/>
        <v>59334</v>
      </c>
      <c r="D48" s="945">
        <f t="shared" si="10"/>
        <v>0</v>
      </c>
      <c r="E48" s="946" t="str">
        <f>IF(F48&lt;=current.year,CHOOSE(current.year-F48+1,"本年","前年","前前年","前前前年","前前前前年"),CHOOSE(F48-current.year,"後年","後後年","後後後年","後後後後年"))</f>
        <v>本年</v>
      </c>
      <c r="F48" s="947">
        <f>current.year+D48</f>
        <v>132</v>
      </c>
      <c r="G48" s="946" t="str">
        <f t="shared" si="7"/>
        <v>夕</v>
      </c>
      <c r="H48" s="940"/>
      <c r="I48" s="927">
        <f>INT(((I47+水合積月)*水月法+J47+水月餘)/水月法)</f>
        <v>116415</v>
      </c>
      <c r="J48" s="462">
        <f>MOD(J47+水月餘,水月法)</f>
        <v>126030</v>
      </c>
      <c r="K48" s="940">
        <f>MOD(I48,紀月)</f>
        <v>3615</v>
      </c>
      <c r="L48" s="941">
        <f>INT(K48*章閏/章月)</f>
        <v>107</v>
      </c>
      <c r="M48" s="572">
        <f>MOD(K48*章閏,章月)</f>
        <v>160</v>
      </c>
      <c r="N48" s="942">
        <f t="shared" si="11"/>
        <v>3</v>
      </c>
      <c r="O48" s="943" t="str">
        <f t="shared" si="12"/>
        <v>三月</v>
      </c>
      <c r="P48" s="940">
        <f>INT(K48*蔀日/蔀月)</f>
        <v>106754</v>
      </c>
      <c r="Q48" s="572">
        <f>MOD(K48*蔀日,蔀月)</f>
        <v>25</v>
      </c>
      <c r="R48" s="752" t="str">
        <f t="shared" si="13"/>
        <v>戊寅</v>
      </c>
      <c r="S48" s="572">
        <f t="shared" si="14"/>
        <v>15</v>
      </c>
      <c r="T48" s="942">
        <f>INT(INT((J48*蔀日+Q48*水月法)/4465)/水日度法)</f>
        <v>16</v>
      </c>
      <c r="U48" s="572">
        <f>MOD(INT((J48*蔀日+Q48*水月法)/4465),水日度法)</f>
        <v>22686</v>
      </c>
      <c r="V48" s="752" t="str">
        <f t="shared" si="15"/>
        <v>甲午</v>
      </c>
      <c r="W48" s="572">
        <f t="shared" si="16"/>
        <v>31</v>
      </c>
      <c r="X48" s="942">
        <f>INT(MOD((X47+水積度)*水日度法+Y47+水度餘,水日度法*周天/日法)/水日度法)</f>
        <v>117</v>
      </c>
      <c r="Y48" s="572">
        <f>MOD(MOD((X47+水積度)*水日度法+Y47+水度餘,水日度法*周天/日法),水日度法)</f>
        <v>22686</v>
      </c>
      <c r="Z48" s="926">
        <f t="shared" si="17"/>
        <v>47632</v>
      </c>
      <c r="AA48" s="752">
        <f>INT(MOD((X48+21)*Z48+ROUND(Y48*Z48/水日度法,0)+Z48/4,Z48*周天/日法)/Z48)</f>
        <v>138</v>
      </c>
      <c r="AB48" s="572">
        <f>MOD(MOD((X48+21)*Z48+ROUND(Y48*Z48/水日度法,0)+Z48/4,Z48*周天/日法),Z48)</f>
        <v>34594</v>
      </c>
      <c r="AC48" s="320" t="str">
        <f>INDEX(lodge.names,MATCH((AA48*Z48+AB48)/Z48,lodge.dipper.du,1))</f>
        <v>胃</v>
      </c>
      <c r="AD48" s="320">
        <f>INT(((AA48*Z48+AB48)-(INDEX(lodge.dipper.du,MATCH(AC48,lodge.names,0))*Z48))/Z48)</f>
        <v>12</v>
      </c>
      <c r="AE48" s="572">
        <f>MOD(((AA48*Z48+AB48)-(INDEX(lodge.dipper.du,MATCH(AC48,lodge.names,0))*Z48)),Z48)</f>
        <v>22686</v>
      </c>
      <c r="AF48">
        <f>INT(K48*紀法/紀月)</f>
        <v>292</v>
      </c>
      <c r="AG48">
        <f t="shared" si="6"/>
        <v>106770</v>
      </c>
    </row>
    <row r="49" spans="1:33">
      <c r="A49">
        <f t="shared" si="8"/>
        <v>5</v>
      </c>
      <c r="B49" s="321">
        <f t="shared" si="9"/>
        <v>59335</v>
      </c>
      <c r="D49" s="945">
        <f t="shared" si="10"/>
        <v>0</v>
      </c>
      <c r="E49" s="946" t="str">
        <f>IF(F49&lt;=current.year,CHOOSE(current.year-F49+1,"本年","前年","前前年","前前前年","前前前前年"),CHOOSE(F49-current.year,"後年","後後年","後後後年","後後後後年"))</f>
        <v>本年</v>
      </c>
      <c r="F49" s="947">
        <f>current.year+D49</f>
        <v>132</v>
      </c>
      <c r="G49" s="946" t="str">
        <f t="shared" si="7"/>
        <v>晨</v>
      </c>
      <c r="H49" s="940"/>
      <c r="I49" s="927">
        <f>INT(((I48+水合積月)*水月法+J48+水月餘)/水月法)</f>
        <v>116417</v>
      </c>
      <c r="J49" s="462">
        <f>MOD(J48+水月餘,水月法)</f>
        <v>117441</v>
      </c>
      <c r="K49" s="940">
        <f>MOD(I49,紀月)</f>
        <v>3617</v>
      </c>
      <c r="L49" s="941">
        <f>INT(K49*章閏/章月)</f>
        <v>107</v>
      </c>
      <c r="M49" s="572">
        <f>MOD(K49*章閏,章月)</f>
        <v>174</v>
      </c>
      <c r="N49" s="942">
        <f t="shared" si="11"/>
        <v>5</v>
      </c>
      <c r="O49" s="943" t="str">
        <f t="shared" si="12"/>
        <v>五月</v>
      </c>
      <c r="P49" s="940">
        <f>INT(K49*蔀日/蔀月)</f>
        <v>106813</v>
      </c>
      <c r="Q49" s="572">
        <f>MOD(K49*蔀日,蔀月)</f>
        <v>83</v>
      </c>
      <c r="R49" s="752" t="str">
        <f t="shared" si="13"/>
        <v>丁丑</v>
      </c>
      <c r="S49" s="572">
        <f t="shared" si="14"/>
        <v>14</v>
      </c>
      <c r="T49" s="942">
        <f>INT(INT((J49*蔀日+Q49*水月法)/4465)/水日度法)</f>
        <v>15</v>
      </c>
      <c r="U49" s="572">
        <f>MOD(INT((J49*蔀日+Q49*水月法)/4465),水日度法)</f>
        <v>19859</v>
      </c>
      <c r="V49" s="752" t="str">
        <f t="shared" si="15"/>
        <v>壬辰</v>
      </c>
      <c r="W49" s="572">
        <f t="shared" si="16"/>
        <v>29</v>
      </c>
      <c r="X49" s="942">
        <f>INT(MOD((X48+水積度)*水日度法+Y48+水度餘,水日度法*周天/日法)/水日度法)</f>
        <v>175</v>
      </c>
      <c r="Y49" s="572">
        <f>MOD(MOD((X48+水積度)*水日度法+Y48+水度餘,水日度法*周天/日法),水日度法)</f>
        <v>19859</v>
      </c>
      <c r="Z49" s="926">
        <f t="shared" si="17"/>
        <v>47632</v>
      </c>
      <c r="AA49" s="752">
        <f>INT(MOD((X49+21)*Z49+ROUND(Y49*Z49/水日度法,0)+Z49/4,Z49*周天/日法)/Z49)</f>
        <v>196</v>
      </c>
      <c r="AB49" s="572">
        <f>MOD(MOD((X49+21)*Z49+ROUND(Y49*Z49/水日度法,0)+Z49/4,Z49*周天/日法),Z49)</f>
        <v>31767</v>
      </c>
      <c r="AC49" s="320" t="str">
        <f>INDEX(lodge.names,MATCH((AA49*Z49+AB49)/Z49,lodge.dipper.du,1))</f>
        <v>井</v>
      </c>
      <c r="AD49" s="320">
        <f>INT(((AA49*Z49+AB49)-(INDEX(lodge.dipper.du,MATCH(AC49,lodge.names,0))*Z49))/Z49)</f>
        <v>18</v>
      </c>
      <c r="AE49" s="572">
        <f>MOD(((AA49*Z49+AB49)-(INDEX(lodge.dipper.du,MATCH(AC49,lodge.names,0))*Z49)),Z49)</f>
        <v>19859</v>
      </c>
      <c r="AF49">
        <f>INT(K49*紀法/紀月)</f>
        <v>292</v>
      </c>
      <c r="AG49">
        <f t="shared" si="6"/>
        <v>106828</v>
      </c>
    </row>
    <row r="50" spans="1:33">
      <c r="A50">
        <f t="shared" si="8"/>
        <v>6</v>
      </c>
      <c r="B50" s="321">
        <f t="shared" si="9"/>
        <v>59336</v>
      </c>
      <c r="D50" s="945">
        <f t="shared" si="10"/>
        <v>0</v>
      </c>
      <c r="E50" s="946" t="str">
        <f>IF(F50&lt;=current.year,CHOOSE(current.year-F50+1,"本年","前年","前前年","前前前年","前前前前年"),CHOOSE(F50-current.year,"後年","後後年","後後後年","後後後後年"))</f>
        <v>本年</v>
      </c>
      <c r="F50" s="947">
        <f>current.year+D50</f>
        <v>132</v>
      </c>
      <c r="G50" s="946" t="str">
        <f t="shared" si="7"/>
        <v>夕</v>
      </c>
      <c r="H50" s="940"/>
      <c r="I50" s="927">
        <f>INT(((I49+水合積月)*水月法+J49+水月餘)/水月法)</f>
        <v>116419</v>
      </c>
      <c r="J50" s="462">
        <f>MOD(J49+水月餘,水月法)</f>
        <v>108852</v>
      </c>
      <c r="K50" s="940">
        <f>MOD(I50,紀月)</f>
        <v>3619</v>
      </c>
      <c r="L50" s="941">
        <f>INT(K50*章閏/章月)</f>
        <v>107</v>
      </c>
      <c r="M50" s="572">
        <f>MOD(K50*章閏,章月)</f>
        <v>188</v>
      </c>
      <c r="N50" s="942">
        <f t="shared" si="11"/>
        <v>7</v>
      </c>
      <c r="O50" s="943" t="str">
        <f t="shared" si="12"/>
        <v>七月</v>
      </c>
      <c r="P50" s="940">
        <f>INT(K50*蔀日/蔀月)</f>
        <v>106872</v>
      </c>
      <c r="Q50" s="572">
        <f>MOD(K50*蔀日,蔀月)</f>
        <v>141</v>
      </c>
      <c r="R50" s="752" t="str">
        <f t="shared" si="13"/>
        <v>丙子</v>
      </c>
      <c r="S50" s="572">
        <f t="shared" si="14"/>
        <v>13</v>
      </c>
      <c r="T50" s="942">
        <f>INT(INT((J50*蔀日+Q50*水月法)/4465)/水日度法)</f>
        <v>14</v>
      </c>
      <c r="U50" s="572">
        <f>MOD(INT((J50*蔀日+Q50*水月法)/4465),水日度法)</f>
        <v>17032</v>
      </c>
      <c r="V50" s="752" t="str">
        <f t="shared" si="15"/>
        <v>庚寅</v>
      </c>
      <c r="W50" s="572">
        <f t="shared" si="16"/>
        <v>27</v>
      </c>
      <c r="X50" s="942">
        <f>INT(MOD((X49+水積度)*水日度法+Y49+水度餘,水日度法*周天/日法)/水日度法)</f>
        <v>233</v>
      </c>
      <c r="Y50" s="572">
        <f>MOD(MOD((X49+水積度)*水日度法+Y49+水度餘,水日度法*周天/日法),水日度法)</f>
        <v>17032</v>
      </c>
      <c r="Z50" s="926">
        <f t="shared" si="17"/>
        <v>47632</v>
      </c>
      <c r="AA50" s="752">
        <f>INT(MOD((X50+21)*Z50+ROUND(Y50*Z50/水日度法,0)+Z50/4,Z50*周天/日法)/Z50)</f>
        <v>254</v>
      </c>
      <c r="AB50" s="572">
        <f>MOD(MOD((X50+21)*Z50+ROUND(Y50*Z50/水日度法,0)+Z50/4,Z50*周天/日法),Z50)</f>
        <v>28940</v>
      </c>
      <c r="AC50" s="320" t="str">
        <f>INDEX(lodge.names,MATCH((AA50*Z50+AB50)/Z50,lodge.dipper.du,1))</f>
        <v>張</v>
      </c>
      <c r="AD50" s="320">
        <f>INT(((AA50*Z50+AB50)-(INDEX(lodge.dipper.du,MATCH(AC50,lodge.names,0))*Z50))/Z50)</f>
        <v>17</v>
      </c>
      <c r="AE50" s="572">
        <f>MOD(((AA50*Z50+AB50)-(INDEX(lodge.dipper.du,MATCH(AC50,lodge.names,0))*Z50)),Z50)</f>
        <v>17032</v>
      </c>
      <c r="AF50">
        <f>INT(K50*紀法/紀月)</f>
        <v>292</v>
      </c>
      <c r="AG50">
        <f t="shared" si="6"/>
        <v>106886</v>
      </c>
    </row>
    <row r="51" spans="1:33">
      <c r="A51">
        <f>A50+1</f>
        <v>7</v>
      </c>
      <c r="B51" s="321">
        <f>B50+1</f>
        <v>59337</v>
      </c>
      <c r="D51" s="945">
        <f>AF51-$D$3</f>
        <v>0</v>
      </c>
      <c r="E51" s="946" t="str">
        <f>IF(F51&lt;=current.year,CHOOSE(current.year-F51+1,"本年","前年","前前年","前前前年","前前前前年"),CHOOSE(F51-current.year,"後年","後後年","後後後年","後後後後年"))</f>
        <v>本年</v>
      </c>
      <c r="F51" s="947">
        <f>current.year+D51</f>
        <v>132</v>
      </c>
      <c r="G51" s="946" t="str">
        <f t="shared" si="7"/>
        <v>晨</v>
      </c>
      <c r="H51" s="940"/>
      <c r="I51" s="927">
        <f>INT(((I50+水合積月)*水月法+J50+水月餘)/水月法)</f>
        <v>116421</v>
      </c>
      <c r="J51" s="462">
        <f>MOD(J50+水月餘,水月法)</f>
        <v>100263</v>
      </c>
      <c r="K51" s="940">
        <f>MOD(I51,紀月)</f>
        <v>3621</v>
      </c>
      <c r="L51" s="941">
        <f>INT(K51*章閏/章月)</f>
        <v>107</v>
      </c>
      <c r="M51" s="572">
        <f>MOD(K51*章閏,章月)</f>
        <v>202</v>
      </c>
      <c r="N51" s="942">
        <f>MOD(MOD(K51-L51,12)+10,12)+1</f>
        <v>9</v>
      </c>
      <c r="O51" s="943" t="str">
        <f>CONCATENATE(IF(AND(M51&gt;223,M51&lt;232)=TRUE(),"閏",""),CHOOSE(N51,"正","二","三","四","五","六","七","八","九","十","十一","十二"),"月")</f>
        <v>九月</v>
      </c>
      <c r="P51" s="940">
        <f>INT(K51*蔀日/蔀月)</f>
        <v>106931</v>
      </c>
      <c r="Q51" s="572">
        <f>MOD(K51*蔀日,蔀月)</f>
        <v>199</v>
      </c>
      <c r="R51" s="752" t="str">
        <f>CONCATENATE(CHOOSE(MOD(S51,10)+1,"癸","甲","乙","丙","丁","戊","己","庚","辛","壬"),(CHOOSE(MOD(S51,12)+1,"亥","子","丑","寅","卯","辰","巳","午","未","申","酉","戌")))</f>
        <v>乙亥</v>
      </c>
      <c r="S51" s="572">
        <f>MOD(P51,60)+1</f>
        <v>12</v>
      </c>
      <c r="T51" s="942">
        <f>INT(INT((J51*蔀日+Q51*水月法)/4465)/水日度法)</f>
        <v>13</v>
      </c>
      <c r="U51" s="572">
        <f>MOD(INT((J51*蔀日+Q51*水月法)/4465),水日度法)</f>
        <v>14205</v>
      </c>
      <c r="V51" s="752" t="str">
        <f>CONCATENATE(CHOOSE(MOD(W51,10)+1,"癸","甲","乙","丙","丁","戊","己","庚","辛","壬"),(CHOOSE(MOD(W51,12)+1,"亥","子","丑","寅","卯","辰","巳","午","未","申","酉","戌")))</f>
        <v>戊子</v>
      </c>
      <c r="W51" s="572">
        <f>MOD(S51+T51-1,60)+1</f>
        <v>25</v>
      </c>
      <c r="X51" s="942">
        <f>INT(MOD((X50+水積度)*水日度法+Y50+水度餘,水日度法*周天/日法)/水日度法)</f>
        <v>291</v>
      </c>
      <c r="Y51" s="572">
        <f>MOD(MOD((X50+水積度)*水日度法+Y50+水度餘,水日度法*周天/日法),水日度法)</f>
        <v>14205</v>
      </c>
      <c r="Z51" s="926">
        <f>Z50</f>
        <v>47632</v>
      </c>
      <c r="AA51" s="752">
        <f>INT(MOD((X51+21)*Z51+ROUND(Y51*Z51/水日度法,0)+Z51/4,Z51*周天/日法)/Z51)</f>
        <v>312</v>
      </c>
      <c r="AB51" s="572">
        <f>MOD(MOD((X51+21)*Z51+ROUND(Y51*Z51/水日度法,0)+Z51/4,Z51*周天/日法),Z51)</f>
        <v>26113</v>
      </c>
      <c r="AC51" s="320" t="str">
        <f>INDEX(lodge.names,MATCH((AA51*Z51+AB51)/Z51,lodge.dipper.du,1))</f>
        <v>氐</v>
      </c>
      <c r="AD51" s="320">
        <f>INT(((AA51*Z51+AB51)-(INDEX(lodge.dipper.du,MATCH(AC51,lodge.names,0))*Z51))/Z51)</f>
        <v>1</v>
      </c>
      <c r="AE51" s="572">
        <f>MOD(((AA51*Z51+AB51)-(INDEX(lodge.dipper.du,MATCH(AC51,lodge.names,0))*Z51)),Z51)</f>
        <v>14205</v>
      </c>
      <c r="AF51">
        <f>INT(K51*紀法/紀月)</f>
        <v>292</v>
      </c>
      <c r="AG51">
        <f t="shared" si="6"/>
        <v>106944</v>
      </c>
    </row>
    <row r="52" spans="1:33">
      <c r="A52">
        <f t="shared" ref="A52:A55" si="18">A51+1</f>
        <v>8</v>
      </c>
      <c r="B52" s="321">
        <f t="shared" ref="B52:B55" si="19">B51+1</f>
        <v>59338</v>
      </c>
      <c r="D52" s="945">
        <f t="shared" ref="D52:D55" si="20">AF52-$D$3</f>
        <v>0</v>
      </c>
      <c r="E52" s="946" t="str">
        <f>IF(F52&lt;=current.year,CHOOSE(current.year-F52+1,"本年","前年","前前年","前前前年","前前前前年"),CHOOSE(F52-current.year,"後年","後後年","後後後年","後後後後年"))</f>
        <v>本年</v>
      </c>
      <c r="F52" s="947">
        <f>current.year+D52</f>
        <v>132</v>
      </c>
      <c r="G52" s="946" t="str">
        <f t="shared" si="7"/>
        <v>夕</v>
      </c>
      <c r="H52" s="940"/>
      <c r="I52" s="927">
        <f>INT(((I51+水合積月)*水月法+J51+水月餘)/水月法)</f>
        <v>116423</v>
      </c>
      <c r="J52" s="462">
        <f>MOD(J51+水月餘,水月法)</f>
        <v>91674</v>
      </c>
      <c r="K52" s="940">
        <f>MOD(I52,紀月)</f>
        <v>3623</v>
      </c>
      <c r="L52" s="941">
        <f>INT(K52*章閏/章月)</f>
        <v>107</v>
      </c>
      <c r="M52" s="572">
        <f>MOD(K52*章閏,章月)</f>
        <v>216</v>
      </c>
      <c r="N52" s="942">
        <f t="shared" ref="N52:N55" si="21">MOD(MOD(K52-L52,12)+10,12)+1</f>
        <v>11</v>
      </c>
      <c r="O52" s="943" t="str">
        <f t="shared" ref="O52:O55" si="22">CONCATENATE(IF(AND(M52&gt;223,M52&lt;232)=TRUE(),"閏",""),CHOOSE(N52,"正","二","三","四","五","六","七","八","九","十","十一","十二"),"月")</f>
        <v>十一月</v>
      </c>
      <c r="P52" s="940">
        <f>INT(K52*蔀日/蔀月)</f>
        <v>106990</v>
      </c>
      <c r="Q52" s="572">
        <f>MOD(K52*蔀日,蔀月)</f>
        <v>257</v>
      </c>
      <c r="R52" s="752" t="str">
        <f t="shared" si="13"/>
        <v>甲戌</v>
      </c>
      <c r="S52" s="572">
        <f t="shared" ref="S52:S55" si="23">MOD(P52,60)+1</f>
        <v>11</v>
      </c>
      <c r="T52" s="942">
        <f>INT(INT((J52*蔀日+Q52*水月法)/4465)/水日度法)</f>
        <v>12</v>
      </c>
      <c r="U52" s="572">
        <f>MOD(INT((J52*蔀日+Q52*水月法)/4465),水日度法)</f>
        <v>11378</v>
      </c>
      <c r="V52" s="752" t="str">
        <f t="shared" si="15"/>
        <v>丙戌</v>
      </c>
      <c r="W52" s="572">
        <f t="shared" ref="W52:W55" si="24">MOD(S52+T52-1,60)+1</f>
        <v>23</v>
      </c>
      <c r="X52" s="942">
        <f>INT(MOD((X51+水積度)*水日度法+Y51+水度餘,水日度法*周天/日法)/水日度法)</f>
        <v>349</v>
      </c>
      <c r="Y52" s="572">
        <f>MOD(MOD((X51+水積度)*水日度法+Y51+水度餘,水日度法*周天/日法),水日度法)</f>
        <v>11378</v>
      </c>
      <c r="Z52" s="926">
        <f t="shared" ref="Z52:Z55" si="25">Z51</f>
        <v>47632</v>
      </c>
      <c r="AA52" s="752">
        <f>INT(MOD((X52+21)*Z52+ROUND(Y52*Z52/水日度法,0)+Z52/4,Z52*周天/日法)/Z52)</f>
        <v>5</v>
      </c>
      <c r="AB52" s="572">
        <f>MOD(MOD((X52+21)*Z52+ROUND(Y52*Z52/水日度法,0)+Z52/4,Z52*周天/日法),Z52)</f>
        <v>11378</v>
      </c>
      <c r="AC52" s="320" t="str">
        <f>INDEX(lodge.names,MATCH((AA52*Z52+AB52)/Z52,lodge.dipper.du,1))</f>
        <v>斗</v>
      </c>
      <c r="AD52" s="320">
        <f>INT(((AA52*Z52+AB52)-(INDEX(lodge.dipper.du,MATCH(AC52,lodge.names,0))*Z52))/Z52)</f>
        <v>5</v>
      </c>
      <c r="AE52" s="572">
        <f>MOD(((AA52*Z52+AB52)-(INDEX(lodge.dipper.du,MATCH(AC52,lodge.names,0))*Z52)),Z52)</f>
        <v>11378</v>
      </c>
      <c r="AF52">
        <f>INT(K52*紀法/紀月)</f>
        <v>292</v>
      </c>
      <c r="AG52">
        <f t="shared" si="6"/>
        <v>107002</v>
      </c>
    </row>
    <row r="53" spans="1:33">
      <c r="A53">
        <f t="shared" si="18"/>
        <v>9</v>
      </c>
      <c r="B53" s="321">
        <f t="shared" si="19"/>
        <v>59339</v>
      </c>
      <c r="D53" s="945">
        <f t="shared" si="20"/>
        <v>1</v>
      </c>
      <c r="E53" s="946" t="str">
        <f>IF(F53&lt;=current.year,CHOOSE(current.year-F53+1,"本年","前年","前前年","前前前年","前前前前年"),CHOOSE(F53-current.year,"後年","後後年","後後後年","後後後後年"))</f>
        <v>後年</v>
      </c>
      <c r="F53" s="947">
        <f>current.year+D53</f>
        <v>133</v>
      </c>
      <c r="G53" s="946" t="str">
        <f t="shared" si="7"/>
        <v>晨</v>
      </c>
      <c r="H53" s="940"/>
      <c r="I53" s="927">
        <f>INT(((I52+水合積月)*水月法+J52+水月餘)/水月法)</f>
        <v>116425</v>
      </c>
      <c r="J53" s="462">
        <f>MOD(J52+水月餘,水月法)</f>
        <v>83085</v>
      </c>
      <c r="K53" s="940">
        <f>MOD(I53,紀月)</f>
        <v>3625</v>
      </c>
      <c r="L53" s="941">
        <f>INT(K53*章閏/章月)</f>
        <v>107</v>
      </c>
      <c r="M53" s="572">
        <f>MOD(K53*章閏,章月)</f>
        <v>230</v>
      </c>
      <c r="N53" s="942">
        <f t="shared" si="21"/>
        <v>1</v>
      </c>
      <c r="O53" s="943" t="str">
        <f t="shared" si="22"/>
        <v>閏正月</v>
      </c>
      <c r="P53" s="940">
        <f>INT(K53*蔀日/蔀月)</f>
        <v>107049</v>
      </c>
      <c r="Q53" s="572">
        <f>MOD(K53*蔀日,蔀月)</f>
        <v>315</v>
      </c>
      <c r="R53" s="752" t="str">
        <f t="shared" si="13"/>
        <v>癸酉</v>
      </c>
      <c r="S53" s="572">
        <f t="shared" si="23"/>
        <v>10</v>
      </c>
      <c r="T53" s="942">
        <f>INT(INT((J53*蔀日+Q53*水月法)/4465)/水日度法)</f>
        <v>11</v>
      </c>
      <c r="U53" s="572">
        <f>MOD(INT((J53*蔀日+Q53*水月法)/4465),水日度法)</f>
        <v>8551</v>
      </c>
      <c r="V53" s="752" t="str">
        <f t="shared" si="15"/>
        <v>甲申</v>
      </c>
      <c r="W53" s="572">
        <f t="shared" si="24"/>
        <v>21</v>
      </c>
      <c r="X53" s="942">
        <f>INT(MOD((X52+水積度)*水日度法+Y52+水度餘,水日度法*周天/日法)/水日度法)</f>
        <v>41</v>
      </c>
      <c r="Y53" s="572">
        <f>MOD(MOD((X52+水積度)*水日度法+Y52+水度餘,水日度法*周天/日法),水日度法)</f>
        <v>44275</v>
      </c>
      <c r="Z53" s="926">
        <f t="shared" si="25"/>
        <v>47632</v>
      </c>
      <c r="AA53" s="752">
        <f>INT(MOD((X53+21)*Z53+ROUND(Y53*Z53/水日度法,0)+Z53/4,Z53*周天/日法)/Z53)</f>
        <v>63</v>
      </c>
      <c r="AB53" s="572">
        <f>MOD(MOD((X53+21)*Z53+ROUND(Y53*Z53/水日度法,0)+Z53/4,Z53*周天/日法),Z53)</f>
        <v>8551</v>
      </c>
      <c r="AC53" s="320" t="str">
        <f>INDEX(lodge.names,MATCH((AA53*Z53+AB53)/Z53,lodge.dipper.du,1))</f>
        <v>危</v>
      </c>
      <c r="AD53" s="320">
        <f>INT(((AA53*Z53+AB53)-(INDEX(lodge.dipper.du,MATCH(AC53,lodge.names,0))*Z53))/Z53)</f>
        <v>6</v>
      </c>
      <c r="AE53" s="572">
        <f>MOD(((AA53*Z53+AB53)-(INDEX(lodge.dipper.du,MATCH(AC53,lodge.names,0))*Z53)),Z53)</f>
        <v>44275</v>
      </c>
      <c r="AF53">
        <f>INT(K53*紀法/紀月)</f>
        <v>293</v>
      </c>
      <c r="AG53">
        <f t="shared" si="6"/>
        <v>107060</v>
      </c>
    </row>
    <row r="54" spans="1:33">
      <c r="A54">
        <f>A53+1</f>
        <v>10</v>
      </c>
      <c r="B54" s="321">
        <f>B53+1</f>
        <v>59340</v>
      </c>
      <c r="D54" s="945">
        <f>AF54-$D$3</f>
        <v>1</v>
      </c>
      <c r="E54" s="946" t="str">
        <f>IF(F54&lt;=current.year,CHOOSE(current.year-F54+1,"本年","前年","前前年","前前前年","前前前前年"),CHOOSE(F54-current.year,"後年","後後年","後後後年","後後後後年"))</f>
        <v>後年</v>
      </c>
      <c r="F54" s="947">
        <f>current.year+D54</f>
        <v>133</v>
      </c>
      <c r="G54" s="946" t="str">
        <f t="shared" si="7"/>
        <v>夕</v>
      </c>
      <c r="H54" s="940"/>
      <c r="I54" s="927">
        <f>INT(((I53+水合積月)*水月法+J53+水月餘)/水月法)</f>
        <v>116427</v>
      </c>
      <c r="J54" s="462">
        <f>MOD(J53+水月餘,水月法)</f>
        <v>74496</v>
      </c>
      <c r="K54" s="940">
        <f>MOD(I54,紀月)</f>
        <v>3627</v>
      </c>
      <c r="L54" s="941">
        <f>INT(K54*章閏/章月)</f>
        <v>108</v>
      </c>
      <c r="M54" s="572">
        <f>MOD(K54*章閏,章月)</f>
        <v>9</v>
      </c>
      <c r="N54" s="942">
        <f>MOD(MOD(K54-L54,12)+10,12)+1</f>
        <v>2</v>
      </c>
      <c r="O54" s="943" t="str">
        <f>CONCATENATE(IF(AND(M54&gt;223,M54&lt;232)=TRUE(),"閏",""),CHOOSE(N54,"正","二","三","四","五","六","七","八","九","十","十一","十二"),"月")</f>
        <v>二月</v>
      </c>
      <c r="P54" s="940">
        <f>INT(K54*蔀日/蔀月)</f>
        <v>107108</v>
      </c>
      <c r="Q54" s="572">
        <f>MOD(K54*蔀日,蔀月)</f>
        <v>373</v>
      </c>
      <c r="R54" s="752" t="str">
        <f>CONCATENATE(CHOOSE(MOD(S54,10)+1,"癸","甲","乙","丙","丁","戊","己","庚","辛","壬"),(CHOOSE(MOD(S54,12)+1,"亥","子","丑","寅","卯","辰","巳","午","未","申","酉","戌")))</f>
        <v>壬申</v>
      </c>
      <c r="S54" s="572">
        <f>MOD(P54,60)+1</f>
        <v>9</v>
      </c>
      <c r="T54" s="942">
        <f>INT(INT((J54*蔀日+Q54*水月法)/4465)/水日度法)</f>
        <v>10</v>
      </c>
      <c r="U54" s="572">
        <f>MOD(INT((J54*蔀日+Q54*水月法)/4465),水日度法)</f>
        <v>5724</v>
      </c>
      <c r="V54" s="752" t="str">
        <f>CONCATENATE(CHOOSE(MOD(W54,10)+1,"癸","甲","乙","丙","丁","戊","己","庚","辛","壬"),(CHOOSE(MOD(W54,12)+1,"亥","子","丑","寅","卯","辰","巳","午","未","申","酉","戌")))</f>
        <v>壬午</v>
      </c>
      <c r="W54" s="572">
        <f>MOD(S54+T54-1,60)+1</f>
        <v>19</v>
      </c>
      <c r="X54" s="942">
        <f>INT(MOD((X53+水積度)*水日度法+Y53+水度餘,水日度法*周天/日法)/水日度法)</f>
        <v>99</v>
      </c>
      <c r="Y54" s="572">
        <f>MOD(MOD((X53+水積度)*水日度法+Y53+水度餘,水日度法*周天/日法),水日度法)</f>
        <v>41448</v>
      </c>
      <c r="Z54" s="926">
        <f>Z53</f>
        <v>47632</v>
      </c>
      <c r="AA54" s="752">
        <f>INT(MOD((X54+21)*Z54+ROUND(Y54*Z54/水日度法,0)+Z54/4,Z54*周天/日法)/Z54)</f>
        <v>121</v>
      </c>
      <c r="AB54" s="572">
        <f>MOD(MOD((X54+21)*Z54+ROUND(Y54*Z54/水日度法,0)+Z54/4,Z54*周天/日法),Z54)</f>
        <v>5724</v>
      </c>
      <c r="AC54" s="320" t="str">
        <f>INDEX(lodge.names,MATCH((AA54*Z54+AB54)/Z54,lodge.dipper.du,1))</f>
        <v>婁</v>
      </c>
      <c r="AD54" s="320">
        <f>INT(((AA54*Z54+AB54)-(INDEX(lodge.dipper.du,MATCH(AC54,lodge.names,0))*Z54))/Z54)</f>
        <v>6</v>
      </c>
      <c r="AE54" s="572">
        <f>MOD(((AA54*Z54+AB54)-(INDEX(lodge.dipper.du,MATCH(AC54,lodge.names,0))*Z54)),Z54)</f>
        <v>41448</v>
      </c>
      <c r="AF54">
        <f>INT(K54*紀法/紀月)</f>
        <v>293</v>
      </c>
      <c r="AG54">
        <f t="shared" si="6"/>
        <v>107118</v>
      </c>
    </row>
    <row r="55" spans="1:33">
      <c r="B55" s="321"/>
      <c r="D55" s="945"/>
      <c r="E55" s="946"/>
      <c r="F55" s="947"/>
      <c r="G55" s="946"/>
      <c r="H55" s="940"/>
      <c r="I55" s="927"/>
      <c r="J55" s="462"/>
      <c r="K55" s="940"/>
      <c r="L55" s="941"/>
      <c r="M55" s="572"/>
      <c r="N55" s="942"/>
      <c r="O55" s="943"/>
      <c r="P55" s="940"/>
      <c r="Q55" s="572"/>
      <c r="R55" s="752"/>
      <c r="S55" s="572"/>
      <c r="T55" s="942"/>
      <c r="U55" s="572"/>
      <c r="V55" s="752"/>
      <c r="W55" s="572"/>
      <c r="X55" s="942"/>
      <c r="Y55" s="572"/>
      <c r="Z55" s="926"/>
      <c r="AA55" s="752"/>
      <c r="AB55" s="572"/>
      <c r="AC55" s="320"/>
      <c r="AD55" s="320"/>
      <c r="AE55" s="57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showGridLines="0" zoomScale="95" zoomScaleNormal="95" workbookViewId="0">
      <selection activeCell="C31" sqref="C31"/>
    </sheetView>
  </sheetViews>
  <sheetFormatPr defaultColWidth="12.77734375" defaultRowHeight="13.2"/>
  <cols>
    <col min="1" max="1" width="3.44140625" customWidth="1"/>
    <col min="2" max="2" width="5.109375" customWidth="1"/>
    <col min="4" max="4" width="8" customWidth="1"/>
    <col min="5" max="5" width="9.33203125" customWidth="1"/>
    <col min="6" max="6" width="5.6640625" customWidth="1"/>
    <col min="7" max="7" width="6.109375" customWidth="1"/>
    <col min="8" max="8" width="5.33203125" customWidth="1"/>
    <col min="9" max="9" width="5.44140625" customWidth="1"/>
    <col min="10" max="10" width="3.77734375" customWidth="1"/>
    <col min="11" max="11" width="5.44140625" customWidth="1"/>
    <col min="12" max="12" width="4.6640625" customWidth="1"/>
    <col min="13" max="13" width="7.6640625" customWidth="1"/>
    <col min="14" max="14" width="7.109375" customWidth="1"/>
    <col min="15" max="16" width="15.77734375" customWidth="1"/>
    <col min="17" max="17" width="7.77734375" customWidth="1"/>
    <col min="18" max="18" width="8" customWidth="1"/>
    <col min="19" max="19" width="5.6640625" customWidth="1"/>
    <col min="20" max="20" width="15.77734375" customWidth="1"/>
    <col min="21" max="21" width="4.6640625" customWidth="1"/>
    <col min="22" max="22" width="6.33203125" customWidth="1"/>
    <col min="23" max="23" width="14.33203125" customWidth="1"/>
    <col min="24" max="24" width="5" customWidth="1"/>
    <col min="25" max="25" width="4.109375" customWidth="1"/>
    <col min="26" max="26" width="5.33203125" customWidth="1"/>
    <col min="27" max="27" width="8.44140625" customWidth="1"/>
    <col min="28" max="28" width="5.109375" customWidth="1"/>
    <col min="29" max="29" width="8" customWidth="1"/>
    <col min="30" max="30" width="7.109375" customWidth="1"/>
    <col min="31" max="31" width="6.109375" customWidth="1"/>
    <col min="32" max="32" width="5" customWidth="1"/>
    <col min="33" max="33" width="5.77734375" customWidth="1"/>
    <col min="34" max="34" width="4.44140625" customWidth="1"/>
  </cols>
  <sheetData>
    <row r="1" spans="1:36" ht="21">
      <c r="A1" s="218" t="s">
        <v>395</v>
      </c>
      <c r="H1" s="218" t="s">
        <v>396</v>
      </c>
      <c r="AA1" s="218" t="s">
        <v>744</v>
      </c>
      <c r="AB1" s="218"/>
    </row>
    <row r="3" spans="1:36" ht="14.4">
      <c r="B3" s="219" t="s">
        <v>114</v>
      </c>
      <c r="C3" s="220" t="s">
        <v>397</v>
      </c>
      <c r="D3" s="220" t="s">
        <v>398</v>
      </c>
      <c r="E3" s="220" t="s">
        <v>399</v>
      </c>
      <c r="F3" s="221"/>
      <c r="H3" s="922" t="s">
        <v>253</v>
      </c>
      <c r="I3" s="922"/>
      <c r="J3" s="922"/>
      <c r="K3" s="923" t="s">
        <v>400</v>
      </c>
      <c r="L3" s="923"/>
      <c r="M3" s="923"/>
      <c r="N3" s="923"/>
      <c r="O3" s="222" t="s">
        <v>255</v>
      </c>
      <c r="P3" s="222" t="s">
        <v>401</v>
      </c>
      <c r="Q3" s="223" t="s">
        <v>257</v>
      </c>
      <c r="R3" s="224" t="s">
        <v>258</v>
      </c>
      <c r="S3" s="924" t="s">
        <v>402</v>
      </c>
      <c r="T3" s="924"/>
      <c r="U3" s="924"/>
      <c r="V3" s="924" t="s">
        <v>260</v>
      </c>
      <c r="W3" s="924"/>
      <c r="X3" s="924"/>
      <c r="Z3" s="44"/>
      <c r="AA3" s="359" t="s">
        <v>543</v>
      </c>
      <c r="AB3" s="359"/>
      <c r="AC3" s="359" t="s">
        <v>28</v>
      </c>
      <c r="AD3" s="359"/>
      <c r="AE3" s="359" t="s">
        <v>29</v>
      </c>
      <c r="AF3" s="359"/>
      <c r="AG3" s="359" t="s">
        <v>30</v>
      </c>
    </row>
    <row r="4" spans="1:36" ht="14.4">
      <c r="B4" s="225">
        <v>1</v>
      </c>
      <c r="C4" s="226" t="s">
        <v>404</v>
      </c>
      <c r="D4" s="227">
        <v>26.25</v>
      </c>
      <c r="E4" s="228">
        <v>0</v>
      </c>
      <c r="F4" s="229">
        <v>-2</v>
      </c>
      <c r="G4" s="230"/>
      <c r="H4" s="231" t="s">
        <v>77</v>
      </c>
      <c r="I4" s="232">
        <v>11</v>
      </c>
      <c r="J4" s="233" t="s">
        <v>403</v>
      </c>
      <c r="K4" s="234" t="s">
        <v>404</v>
      </c>
      <c r="L4" s="235">
        <v>21</v>
      </c>
      <c r="M4" s="236">
        <v>8</v>
      </c>
      <c r="N4" s="237">
        <v>-2</v>
      </c>
      <c r="O4" s="272">
        <v>115</v>
      </c>
      <c r="P4" s="238" t="s">
        <v>262</v>
      </c>
      <c r="Q4" s="239">
        <v>45</v>
      </c>
      <c r="R4" s="240">
        <f t="shared" ref="R4:R27" si="0">100-Q4</f>
        <v>55</v>
      </c>
      <c r="S4" s="234" t="s">
        <v>405</v>
      </c>
      <c r="T4" s="272">
        <f>6-1/12</f>
        <v>5.916666666666667</v>
      </c>
      <c r="U4" s="241">
        <v>0</v>
      </c>
      <c r="V4" s="234" t="s">
        <v>406</v>
      </c>
      <c r="W4" s="272">
        <f>2+4/12</f>
        <v>2.3333333333333335</v>
      </c>
      <c r="X4" s="241">
        <v>-1</v>
      </c>
      <c r="Z4" s="25">
        <v>1</v>
      </c>
      <c r="AA4" s="576" t="s">
        <v>31</v>
      </c>
      <c r="AB4" s="575">
        <v>17</v>
      </c>
      <c r="AC4" s="576" t="s">
        <v>32</v>
      </c>
      <c r="AD4" s="575">
        <v>37</v>
      </c>
      <c r="AE4" s="358" t="s">
        <v>33</v>
      </c>
      <c r="AF4" s="575">
        <f>MOD(AD23+15,60)+1</f>
        <v>57</v>
      </c>
      <c r="AG4" s="358" t="str">
        <f>CONCATENATE(CHOOSE(MOD(AH4,10)+1,"癸","甲","乙","丙","丁","戊","己","庚","辛","壬"),(CHOOSE(MOD(AH4,12)+1,"亥","子","丑","寅","卯","辰","巳","午","未","申","酉","戌")))</f>
        <v>甲子</v>
      </c>
      <c r="AH4" s="575">
        <v>1</v>
      </c>
    </row>
    <row r="5" spans="1:36" ht="14.4">
      <c r="B5" s="242">
        <v>2</v>
      </c>
      <c r="C5" s="243" t="s">
        <v>426</v>
      </c>
      <c r="D5" s="244">
        <v>8</v>
      </c>
      <c r="E5" s="245">
        <f t="shared" ref="E5:E32" si="1">E4+D4</f>
        <v>26.25</v>
      </c>
      <c r="F5" s="229"/>
      <c r="G5" s="230"/>
      <c r="H5" s="246" t="s">
        <v>78</v>
      </c>
      <c r="I5" s="232">
        <v>12</v>
      </c>
      <c r="J5" s="233" t="s">
        <v>407</v>
      </c>
      <c r="K5" s="234" t="s">
        <v>408</v>
      </c>
      <c r="L5" s="235">
        <v>2</v>
      </c>
      <c r="M5" s="236">
        <v>7</v>
      </c>
      <c r="N5" s="237">
        <v>1</v>
      </c>
      <c r="O5" s="272">
        <f>113+1/12</f>
        <v>113.08333333333333</v>
      </c>
      <c r="P5" s="238" t="s">
        <v>268</v>
      </c>
      <c r="Q5" s="239">
        <v>45.8</v>
      </c>
      <c r="R5" s="240">
        <f t="shared" si="0"/>
        <v>54.2</v>
      </c>
      <c r="S5" s="234" t="s">
        <v>409</v>
      </c>
      <c r="T5" s="272">
        <f>6+7/12</f>
        <v>6.583333333333333</v>
      </c>
      <c r="U5" s="241">
        <v>-1</v>
      </c>
      <c r="V5" s="234" t="s">
        <v>410</v>
      </c>
      <c r="W5" s="272">
        <f>7+2/12</f>
        <v>7.166666666666667</v>
      </c>
      <c r="X5" s="241">
        <v>-2</v>
      </c>
      <c r="Z5" s="25">
        <f t="shared" ref="Z5:Z23" si="2">Z4+1</f>
        <v>2</v>
      </c>
      <c r="AA5" s="576" t="s">
        <v>35</v>
      </c>
      <c r="AB5" s="575">
        <f>MOD(AB4+15,60)+1</f>
        <v>33</v>
      </c>
      <c r="AC5" s="576" t="s">
        <v>36</v>
      </c>
      <c r="AD5" s="575">
        <f>MOD(AD4+15,60)+1</f>
        <v>53</v>
      </c>
      <c r="AE5" s="358" t="s">
        <v>37</v>
      </c>
      <c r="AF5" s="575">
        <f>MOD(AF4+15,60)+1</f>
        <v>13</v>
      </c>
      <c r="AG5" s="358" t="str">
        <f>CONCATENATE(CHOOSE(MOD(AH5,10)+1,"癸","甲","乙","丙","丁","戊","己","庚","辛","壬"),(CHOOSE(MOD(AH5,12)+1,"亥","子","丑","寅","卯","辰","巳","午","未","申","酉","戌")))</f>
        <v>癸卯</v>
      </c>
      <c r="AH5" s="575">
        <f>MOD(AH4+38,60)+1</f>
        <v>40</v>
      </c>
    </row>
    <row r="6" spans="1:36" ht="14.4">
      <c r="B6" s="242">
        <v>3</v>
      </c>
      <c r="C6" s="243" t="s">
        <v>408</v>
      </c>
      <c r="D6" s="244">
        <v>12</v>
      </c>
      <c r="E6" s="245">
        <f t="shared" si="1"/>
        <v>34.25</v>
      </c>
      <c r="F6" s="229">
        <v>1</v>
      </c>
      <c r="G6" s="230"/>
      <c r="H6" s="246" t="s">
        <v>79</v>
      </c>
      <c r="I6" s="232">
        <f>I5</f>
        <v>12</v>
      </c>
      <c r="J6" s="233" t="s">
        <v>403</v>
      </c>
      <c r="K6" s="234" t="s">
        <v>411</v>
      </c>
      <c r="L6" s="235">
        <v>5</v>
      </c>
      <c r="M6" s="236">
        <v>14</v>
      </c>
      <c r="N6" s="237">
        <v>2</v>
      </c>
      <c r="O6" s="272">
        <f>110+8/12</f>
        <v>110.66666666666667</v>
      </c>
      <c r="P6" s="238" t="s">
        <v>274</v>
      </c>
      <c r="Q6" s="239">
        <v>46.8</v>
      </c>
      <c r="R6" s="240">
        <f t="shared" si="0"/>
        <v>53.2</v>
      </c>
      <c r="S6" s="234" t="s">
        <v>412</v>
      </c>
      <c r="T6" s="273">
        <f>11+7/12</f>
        <v>11.583333333333334</v>
      </c>
      <c r="U6" s="241">
        <v>-1</v>
      </c>
      <c r="V6" s="234" t="s">
        <v>413</v>
      </c>
      <c r="W6" s="272">
        <v>0.5</v>
      </c>
      <c r="X6" s="241">
        <v>-3</v>
      </c>
      <c r="Z6" s="25">
        <f t="shared" si="2"/>
        <v>3</v>
      </c>
      <c r="AA6" s="576" t="s">
        <v>39</v>
      </c>
      <c r="AB6" s="575">
        <f t="shared" ref="AB6:AB23" si="3">MOD(AB5+15,60)+1</f>
        <v>49</v>
      </c>
      <c r="AC6" s="576" t="s">
        <v>40</v>
      </c>
      <c r="AD6" s="575">
        <f t="shared" ref="AD6:AD23" si="4">MOD(AD5+15,60)+1</f>
        <v>9</v>
      </c>
      <c r="AE6" s="358" t="s">
        <v>41</v>
      </c>
      <c r="AF6" s="575">
        <f t="shared" ref="AF6:AF23" si="5">MOD(AF5+15,60)+1</f>
        <v>29</v>
      </c>
      <c r="AG6" s="358" t="str">
        <f>CONCATENATE(CHOOSE(MOD(AH6,10)+1,"癸","甲","乙","丙","丁","戊","己","庚","辛","壬"),(CHOOSE(MOD(AH6,12)+1,"亥","子","丑","寅","卯","辰","巳","午","未","申","酉","戌")))</f>
        <v>壬午</v>
      </c>
      <c r="AH6" s="575">
        <f t="shared" ref="AH6:AH23" si="6">MOD(AH5+38,60)+1</f>
        <v>19</v>
      </c>
    </row>
    <row r="7" spans="1:36" ht="14.4">
      <c r="B7" s="242">
        <v>4</v>
      </c>
      <c r="C7" s="243" t="s">
        <v>411</v>
      </c>
      <c r="D7" s="244">
        <v>10</v>
      </c>
      <c r="E7" s="245">
        <f t="shared" si="1"/>
        <v>46.25</v>
      </c>
      <c r="F7" s="229">
        <v>2</v>
      </c>
      <c r="G7" s="230"/>
      <c r="H7" s="246" t="s">
        <v>80</v>
      </c>
      <c r="I7" s="232">
        <v>1</v>
      </c>
      <c r="J7" s="233" t="s">
        <v>407</v>
      </c>
      <c r="K7" s="234" t="s">
        <v>414</v>
      </c>
      <c r="L7" s="235">
        <v>10</v>
      </c>
      <c r="M7" s="236">
        <v>21</v>
      </c>
      <c r="N7" s="237">
        <v>2</v>
      </c>
      <c r="O7" s="272">
        <f>106+2/12</f>
        <v>106.16666666666667</v>
      </c>
      <c r="P7" s="238" t="s">
        <v>279</v>
      </c>
      <c r="Q7" s="239">
        <v>48.6</v>
      </c>
      <c r="R7" s="240">
        <f t="shared" si="0"/>
        <v>51.4</v>
      </c>
      <c r="S7" s="234" t="s">
        <v>415</v>
      </c>
      <c r="T7" s="272">
        <f>5+2/12</f>
        <v>5.166666666666667</v>
      </c>
      <c r="U7" s="241">
        <v>-3</v>
      </c>
      <c r="V7" s="234" t="s">
        <v>416</v>
      </c>
      <c r="W7" s="272">
        <f>7+5/12</f>
        <v>7.416666666666667</v>
      </c>
      <c r="X7" s="241">
        <v>-3</v>
      </c>
      <c r="Z7" s="25">
        <f t="shared" si="2"/>
        <v>4</v>
      </c>
      <c r="AA7" s="576" t="s">
        <v>43</v>
      </c>
      <c r="AB7" s="575">
        <f t="shared" si="3"/>
        <v>5</v>
      </c>
      <c r="AC7" s="576" t="s">
        <v>44</v>
      </c>
      <c r="AD7" s="575">
        <f t="shared" si="4"/>
        <v>25</v>
      </c>
      <c r="AE7" s="358" t="s">
        <v>45</v>
      </c>
      <c r="AF7" s="575">
        <f t="shared" si="5"/>
        <v>45</v>
      </c>
      <c r="AG7" s="358" t="str">
        <f>CONCATENATE(CHOOSE(MOD(AH7,10)+1,"癸","甲","乙","丙","丁","戊","己","庚","辛","壬"),(CHOOSE(MOD(AH7,12)+1,"亥","子","丑","寅","卯","辰","巳","午","未","申","酉","戌")))</f>
        <v>辛酉</v>
      </c>
      <c r="AH7" s="575">
        <f t="shared" si="6"/>
        <v>58</v>
      </c>
    </row>
    <row r="8" spans="1:36" ht="14.4">
      <c r="B8" s="242">
        <v>5</v>
      </c>
      <c r="C8" s="243" t="s">
        <v>414</v>
      </c>
      <c r="D8" s="244">
        <v>17</v>
      </c>
      <c r="E8" s="245">
        <f t="shared" si="1"/>
        <v>56.25</v>
      </c>
      <c r="F8" s="229">
        <v>2</v>
      </c>
      <c r="G8" s="230"/>
      <c r="H8" s="246" t="s">
        <v>81</v>
      </c>
      <c r="I8" s="232">
        <f>I7</f>
        <v>1</v>
      </c>
      <c r="J8" s="233" t="s">
        <v>403</v>
      </c>
      <c r="K8" s="234" t="s">
        <v>417</v>
      </c>
      <c r="L8" s="235">
        <v>8</v>
      </c>
      <c r="M8" s="236">
        <v>28</v>
      </c>
      <c r="N8" s="237">
        <v>3</v>
      </c>
      <c r="O8" s="272">
        <f>101+1/12</f>
        <v>101.08333333333333</v>
      </c>
      <c r="P8" s="247" t="s">
        <v>284</v>
      </c>
      <c r="Q8" s="239">
        <v>50.8</v>
      </c>
      <c r="R8" s="240">
        <f t="shared" si="0"/>
        <v>49.2</v>
      </c>
      <c r="S8" s="234" t="s">
        <v>418</v>
      </c>
      <c r="T8" s="272">
        <f>6+5/12</f>
        <v>6.416666666666667</v>
      </c>
      <c r="U8" s="241">
        <v>-4</v>
      </c>
      <c r="V8" s="234" t="s">
        <v>419</v>
      </c>
      <c r="W8" s="272">
        <f>8/12</f>
        <v>0.66666666666666663</v>
      </c>
      <c r="X8" s="241">
        <v>-3</v>
      </c>
      <c r="Z8" s="25">
        <f t="shared" si="2"/>
        <v>5</v>
      </c>
      <c r="AA8" s="576" t="s">
        <v>47</v>
      </c>
      <c r="AB8" s="575">
        <f t="shared" si="3"/>
        <v>21</v>
      </c>
      <c r="AC8" s="576" t="s">
        <v>48</v>
      </c>
      <c r="AD8" s="575">
        <f t="shared" si="4"/>
        <v>41</v>
      </c>
      <c r="AE8" s="358" t="s">
        <v>34</v>
      </c>
      <c r="AF8" s="575">
        <f t="shared" si="5"/>
        <v>1</v>
      </c>
      <c r="AG8" s="358" t="str">
        <f t="shared" ref="AG8:AG23" si="7">CONCATENATE(CHOOSE(MOD(AH8,10)+1,"癸","甲","乙","丙","丁","戊","己","庚","辛","壬"),(CHOOSE(MOD(AH8,12)+1,"亥","子","丑","寅","卯","辰","巳","午","未","申","酉","戌")))</f>
        <v>庚子</v>
      </c>
      <c r="AH8" s="575">
        <f t="shared" si="6"/>
        <v>37</v>
      </c>
    </row>
    <row r="9" spans="1:36" ht="14.4">
      <c r="B9" s="242">
        <v>6</v>
      </c>
      <c r="C9" s="243" t="s">
        <v>417</v>
      </c>
      <c r="D9" s="244">
        <v>16</v>
      </c>
      <c r="E9" s="245">
        <f t="shared" si="1"/>
        <v>73.25</v>
      </c>
      <c r="F9" s="229">
        <v>3</v>
      </c>
      <c r="G9" s="230"/>
      <c r="H9" s="246" t="s">
        <v>82</v>
      </c>
      <c r="I9" s="232">
        <f>I8+1</f>
        <v>2</v>
      </c>
      <c r="J9" s="233" t="s">
        <v>407</v>
      </c>
      <c r="K9" s="234" t="s">
        <v>420</v>
      </c>
      <c r="L9" s="235">
        <v>8</v>
      </c>
      <c r="M9" s="236">
        <v>3</v>
      </c>
      <c r="N9" s="237">
        <v>1</v>
      </c>
      <c r="O9" s="272">
        <f>95+1/12</f>
        <v>95.083333333333329</v>
      </c>
      <c r="P9" s="248" t="s">
        <v>290</v>
      </c>
      <c r="Q9" s="239">
        <v>53.3</v>
      </c>
      <c r="R9" s="240">
        <f t="shared" si="0"/>
        <v>46.7</v>
      </c>
      <c r="S9" s="234" t="s">
        <v>421</v>
      </c>
      <c r="T9" s="272">
        <f>17+2/12</f>
        <v>17.166666666666668</v>
      </c>
      <c r="U9" s="241">
        <v>-3</v>
      </c>
      <c r="V9" s="234" t="s">
        <v>404</v>
      </c>
      <c r="W9" s="272">
        <v>0.25</v>
      </c>
      <c r="X9" s="241">
        <v>-2</v>
      </c>
      <c r="Z9" s="25">
        <f t="shared" si="2"/>
        <v>6</v>
      </c>
      <c r="AA9" s="576" t="s">
        <v>32</v>
      </c>
      <c r="AB9" s="575">
        <f t="shared" si="3"/>
        <v>37</v>
      </c>
      <c r="AC9" s="576" t="s">
        <v>33</v>
      </c>
      <c r="AD9" s="575">
        <f t="shared" si="4"/>
        <v>57</v>
      </c>
      <c r="AE9" s="358" t="s">
        <v>31</v>
      </c>
      <c r="AF9" s="575">
        <f t="shared" si="5"/>
        <v>17</v>
      </c>
      <c r="AG9" s="358" t="str">
        <f t="shared" si="7"/>
        <v>己卯</v>
      </c>
      <c r="AH9" s="575">
        <f t="shared" si="6"/>
        <v>16</v>
      </c>
      <c r="AI9" s="320" t="str">
        <f>CONCATENATE(CHOOSE(MOD(AJ9,10)+1,"癸","甲","乙","丙","丁","戊","己","庚","辛","壬"),(CHOOSE(MOD(AJ9,12)+1,"亥","子","丑","寅","卯","辰","巳","午","未","申","酉","戌")))</f>
        <v>癸卯</v>
      </c>
      <c r="AJ9" s="319">
        <v>40</v>
      </c>
    </row>
    <row r="10" spans="1:36" ht="14.4">
      <c r="B10" s="242">
        <v>7</v>
      </c>
      <c r="C10" s="243" t="s">
        <v>420</v>
      </c>
      <c r="D10" s="244">
        <v>9</v>
      </c>
      <c r="E10" s="245">
        <f t="shared" si="1"/>
        <v>89.25</v>
      </c>
      <c r="F10" s="229">
        <v>1</v>
      </c>
      <c r="G10" s="230"/>
      <c r="H10" s="246" t="s">
        <v>83</v>
      </c>
      <c r="I10" s="232">
        <f>I9</f>
        <v>2</v>
      </c>
      <c r="J10" s="233" t="s">
        <v>403</v>
      </c>
      <c r="K10" s="234" t="s">
        <v>405</v>
      </c>
      <c r="L10" s="235">
        <v>14</v>
      </c>
      <c r="M10" s="236">
        <v>10</v>
      </c>
      <c r="N10" s="237">
        <v>0</v>
      </c>
      <c r="O10" s="272">
        <f>89+4/12</f>
        <v>89.333333333333329</v>
      </c>
      <c r="P10" s="247" t="s">
        <v>296</v>
      </c>
      <c r="Q10" s="239">
        <v>55.8</v>
      </c>
      <c r="R10" s="240">
        <f t="shared" si="0"/>
        <v>44.2</v>
      </c>
      <c r="S10" s="234" t="s">
        <v>422</v>
      </c>
      <c r="T10" s="272">
        <v>4</v>
      </c>
      <c r="U10" s="241">
        <v>0</v>
      </c>
      <c r="V10" s="234" t="s">
        <v>404</v>
      </c>
      <c r="W10" s="272">
        <f>11-1/12</f>
        <v>10.916666666666666</v>
      </c>
      <c r="X10" s="241">
        <v>-2</v>
      </c>
      <c r="Z10" s="25">
        <f t="shared" si="2"/>
        <v>7</v>
      </c>
      <c r="AA10" s="576" t="s">
        <v>36</v>
      </c>
      <c r="AB10" s="575">
        <f t="shared" si="3"/>
        <v>53</v>
      </c>
      <c r="AC10" s="576" t="s">
        <v>37</v>
      </c>
      <c r="AD10" s="575">
        <f t="shared" si="4"/>
        <v>13</v>
      </c>
      <c r="AE10" s="358" t="s">
        <v>35</v>
      </c>
      <c r="AF10" s="575">
        <f t="shared" si="5"/>
        <v>33</v>
      </c>
      <c r="AG10" s="358" t="str">
        <f t="shared" si="7"/>
        <v>戊午</v>
      </c>
      <c r="AH10" s="575">
        <f t="shared" si="6"/>
        <v>55</v>
      </c>
    </row>
    <row r="11" spans="1:36" ht="14.4">
      <c r="B11" s="249">
        <v>8</v>
      </c>
      <c r="C11" s="250" t="s">
        <v>405</v>
      </c>
      <c r="D11" s="251">
        <v>16</v>
      </c>
      <c r="E11" s="252">
        <f t="shared" si="1"/>
        <v>98.25</v>
      </c>
      <c r="F11" s="229"/>
      <c r="G11" s="230"/>
      <c r="H11" s="246" t="s">
        <v>84</v>
      </c>
      <c r="I11" s="232">
        <f>I10+1</f>
        <v>3</v>
      </c>
      <c r="J11" s="233" t="s">
        <v>407</v>
      </c>
      <c r="K11" s="234" t="s">
        <v>412</v>
      </c>
      <c r="L11" s="253">
        <v>1</v>
      </c>
      <c r="M11" s="236">
        <v>17</v>
      </c>
      <c r="N11" s="237">
        <v>-1</v>
      </c>
      <c r="O11" s="272">
        <f>83+2/12</f>
        <v>83.166666666666671</v>
      </c>
      <c r="P11" s="247" t="s">
        <v>300</v>
      </c>
      <c r="Q11" s="239">
        <v>58.3</v>
      </c>
      <c r="R11" s="240">
        <f t="shared" si="0"/>
        <v>41.7</v>
      </c>
      <c r="S11" s="234" t="s">
        <v>423</v>
      </c>
      <c r="T11" s="272">
        <v>4.75</v>
      </c>
      <c r="U11" s="241">
        <v>1</v>
      </c>
      <c r="V11" s="234" t="s">
        <v>404</v>
      </c>
      <c r="W11" s="272">
        <v>21.5</v>
      </c>
      <c r="X11" s="241">
        <v>-2</v>
      </c>
      <c r="Z11" s="25">
        <f t="shared" si="2"/>
        <v>8</v>
      </c>
      <c r="AA11" s="576" t="s">
        <v>40</v>
      </c>
      <c r="AB11" s="575">
        <f t="shared" si="3"/>
        <v>9</v>
      </c>
      <c r="AC11" s="576" t="s">
        <v>41</v>
      </c>
      <c r="AD11" s="575">
        <f t="shared" si="4"/>
        <v>29</v>
      </c>
      <c r="AE11" s="358" t="s">
        <v>39</v>
      </c>
      <c r="AF11" s="575">
        <f t="shared" si="5"/>
        <v>49</v>
      </c>
      <c r="AG11" s="358" t="str">
        <f t="shared" si="7"/>
        <v>丁酉</v>
      </c>
      <c r="AH11" s="575">
        <f t="shared" si="6"/>
        <v>34</v>
      </c>
    </row>
    <row r="12" spans="1:36" ht="14.4">
      <c r="B12" s="242">
        <v>9</v>
      </c>
      <c r="C12" s="243" t="s">
        <v>409</v>
      </c>
      <c r="D12" s="244">
        <v>12</v>
      </c>
      <c r="E12" s="245">
        <f t="shared" si="1"/>
        <v>114.25</v>
      </c>
      <c r="F12" s="229">
        <v>-1</v>
      </c>
      <c r="G12" s="230"/>
      <c r="H12" s="246" t="s">
        <v>85</v>
      </c>
      <c r="I12" s="232">
        <f>I11</f>
        <v>3</v>
      </c>
      <c r="J12" s="233" t="s">
        <v>403</v>
      </c>
      <c r="K12" s="234" t="s">
        <v>424</v>
      </c>
      <c r="L12" s="253">
        <v>2</v>
      </c>
      <c r="M12" s="236">
        <v>24</v>
      </c>
      <c r="N12" s="237">
        <v>-2</v>
      </c>
      <c r="O12" s="272">
        <f>77+10/12</f>
        <v>77.833333333333329</v>
      </c>
      <c r="P12" s="238" t="s">
        <v>306</v>
      </c>
      <c r="Q12" s="239">
        <v>60.5</v>
      </c>
      <c r="R12" s="240">
        <f t="shared" si="0"/>
        <v>39.5</v>
      </c>
      <c r="S12" s="234" t="s">
        <v>425</v>
      </c>
      <c r="T12" s="272">
        <v>17</v>
      </c>
      <c r="U12" s="241">
        <v>1</v>
      </c>
      <c r="V12" s="234" t="s">
        <v>426</v>
      </c>
      <c r="W12" s="272">
        <v>6.5</v>
      </c>
      <c r="X12" s="241">
        <v>0</v>
      </c>
      <c r="Z12" s="25">
        <f t="shared" si="2"/>
        <v>9</v>
      </c>
      <c r="AA12" s="576" t="s">
        <v>44</v>
      </c>
      <c r="AB12" s="575">
        <f t="shared" si="3"/>
        <v>25</v>
      </c>
      <c r="AC12" s="576" t="s">
        <v>45</v>
      </c>
      <c r="AD12" s="575">
        <f t="shared" si="4"/>
        <v>45</v>
      </c>
      <c r="AE12" s="358" t="s">
        <v>43</v>
      </c>
      <c r="AF12" s="575">
        <f t="shared" si="5"/>
        <v>5</v>
      </c>
      <c r="AG12" s="358" t="str">
        <f t="shared" si="7"/>
        <v>丙子</v>
      </c>
      <c r="AH12" s="575">
        <f t="shared" si="6"/>
        <v>13</v>
      </c>
    </row>
    <row r="13" spans="1:36" ht="14.4">
      <c r="B13" s="242">
        <v>10</v>
      </c>
      <c r="C13" s="243" t="s">
        <v>412</v>
      </c>
      <c r="D13" s="244">
        <v>14</v>
      </c>
      <c r="E13" s="245">
        <f t="shared" si="1"/>
        <v>126.25</v>
      </c>
      <c r="F13" s="229">
        <v>-1</v>
      </c>
      <c r="G13" s="230"/>
      <c r="H13" s="246" t="s">
        <v>86</v>
      </c>
      <c r="I13" s="232">
        <f>I12+1</f>
        <v>4</v>
      </c>
      <c r="J13" s="233" t="s">
        <v>407</v>
      </c>
      <c r="K13" s="234" t="s">
        <v>415</v>
      </c>
      <c r="L13" s="253">
        <v>6</v>
      </c>
      <c r="M13" s="236">
        <v>31</v>
      </c>
      <c r="N13" s="237">
        <v>-3</v>
      </c>
      <c r="O13" s="272">
        <f>73+2/12</f>
        <v>73.166666666666671</v>
      </c>
      <c r="P13" s="247" t="s">
        <v>311</v>
      </c>
      <c r="Q13" s="239">
        <v>62.4</v>
      </c>
      <c r="R13" s="240">
        <f t="shared" si="0"/>
        <v>37.6</v>
      </c>
      <c r="S13" s="234" t="s">
        <v>427</v>
      </c>
      <c r="T13" s="272">
        <v>17.75</v>
      </c>
      <c r="U13" s="241">
        <v>2</v>
      </c>
      <c r="V13" s="234" t="s">
        <v>408</v>
      </c>
      <c r="W13" s="272">
        <f>10+3/12</f>
        <v>10.25</v>
      </c>
      <c r="X13" s="241">
        <v>1</v>
      </c>
      <c r="Z13" s="25">
        <f t="shared" si="2"/>
        <v>10</v>
      </c>
      <c r="AA13" s="576" t="s">
        <v>48</v>
      </c>
      <c r="AB13" s="575">
        <f t="shared" si="3"/>
        <v>41</v>
      </c>
      <c r="AC13" s="576" t="s">
        <v>34</v>
      </c>
      <c r="AD13" s="575">
        <f t="shared" si="4"/>
        <v>1</v>
      </c>
      <c r="AE13" s="358" t="s">
        <v>47</v>
      </c>
      <c r="AF13" s="575">
        <f t="shared" si="5"/>
        <v>21</v>
      </c>
      <c r="AG13" s="358" t="str">
        <f t="shared" si="7"/>
        <v>乙卯</v>
      </c>
      <c r="AH13" s="575">
        <f t="shared" si="6"/>
        <v>52</v>
      </c>
    </row>
    <row r="14" spans="1:36" ht="14.4">
      <c r="B14" s="242">
        <v>11</v>
      </c>
      <c r="C14" s="243" t="s">
        <v>424</v>
      </c>
      <c r="D14" s="244">
        <v>11</v>
      </c>
      <c r="E14" s="245">
        <f t="shared" si="1"/>
        <v>140.25</v>
      </c>
      <c r="F14" s="229">
        <v>-2</v>
      </c>
      <c r="G14" s="230"/>
      <c r="H14" s="246" t="s">
        <v>87</v>
      </c>
      <c r="I14" s="232">
        <f>I13</f>
        <v>4</v>
      </c>
      <c r="J14" s="233" t="s">
        <v>403</v>
      </c>
      <c r="K14" s="234" t="s">
        <v>418</v>
      </c>
      <c r="L14" s="253">
        <v>4</v>
      </c>
      <c r="M14" s="236">
        <v>6</v>
      </c>
      <c r="N14" s="237">
        <v>-4</v>
      </c>
      <c r="O14" s="272">
        <f>69+8/12</f>
        <v>69.666666666666671</v>
      </c>
      <c r="P14" s="247" t="s">
        <v>317</v>
      </c>
      <c r="Q14" s="239">
        <v>63.9</v>
      </c>
      <c r="R14" s="240">
        <f t="shared" si="0"/>
        <v>36.1</v>
      </c>
      <c r="S14" s="234" t="s">
        <v>428</v>
      </c>
      <c r="T14" s="272">
        <f>8/12</f>
        <v>0.66666666666666663</v>
      </c>
      <c r="U14" s="241">
        <v>0</v>
      </c>
      <c r="V14" s="234" t="s">
        <v>414</v>
      </c>
      <c r="W14" s="272">
        <f>8/12</f>
        <v>0.66666666666666663</v>
      </c>
      <c r="X14" s="241">
        <v>2</v>
      </c>
      <c r="Z14" s="25">
        <f t="shared" si="2"/>
        <v>11</v>
      </c>
      <c r="AA14" s="576" t="s">
        <v>33</v>
      </c>
      <c r="AB14" s="575">
        <f t="shared" si="3"/>
        <v>57</v>
      </c>
      <c r="AC14" s="576" t="s">
        <v>31</v>
      </c>
      <c r="AD14" s="575">
        <f t="shared" si="4"/>
        <v>17</v>
      </c>
      <c r="AE14" s="358" t="s">
        <v>32</v>
      </c>
      <c r="AF14" s="575">
        <f t="shared" si="5"/>
        <v>37</v>
      </c>
      <c r="AG14" s="358" t="str">
        <f t="shared" si="7"/>
        <v>甲午</v>
      </c>
      <c r="AH14" s="575">
        <f t="shared" si="6"/>
        <v>31</v>
      </c>
    </row>
    <row r="15" spans="1:36" ht="14.4">
      <c r="B15" s="242">
        <v>12</v>
      </c>
      <c r="C15" s="243" t="s">
        <v>415</v>
      </c>
      <c r="D15" s="244">
        <v>16</v>
      </c>
      <c r="E15" s="245">
        <f t="shared" si="1"/>
        <v>151.25</v>
      </c>
      <c r="F15" s="229">
        <v>-3</v>
      </c>
      <c r="G15" s="230"/>
      <c r="H15" s="246" t="s">
        <v>88</v>
      </c>
      <c r="I15" s="232">
        <f>I14+1</f>
        <v>5</v>
      </c>
      <c r="J15" s="233" t="s">
        <v>407</v>
      </c>
      <c r="K15" s="234" t="s">
        <v>421</v>
      </c>
      <c r="L15" s="253">
        <v>10</v>
      </c>
      <c r="M15" s="236">
        <v>13</v>
      </c>
      <c r="N15" s="237">
        <v>-3</v>
      </c>
      <c r="O15" s="272">
        <f>67+1/12</f>
        <v>67.083333333333329</v>
      </c>
      <c r="P15" s="247" t="s">
        <v>323</v>
      </c>
      <c r="Q15" s="239">
        <v>64.900000000000006</v>
      </c>
      <c r="R15" s="240">
        <f t="shared" si="0"/>
        <v>35.099999999999994</v>
      </c>
      <c r="S15" s="234" t="s">
        <v>406</v>
      </c>
      <c r="T15" s="272">
        <v>5.75</v>
      </c>
      <c r="U15" s="241">
        <v>-1</v>
      </c>
      <c r="V15" s="234" t="s">
        <v>414</v>
      </c>
      <c r="W15" s="272">
        <f>14+1/12</f>
        <v>14.083333333333334</v>
      </c>
      <c r="X15" s="241">
        <v>2</v>
      </c>
      <c r="Z15" s="25">
        <f t="shared" si="2"/>
        <v>12</v>
      </c>
      <c r="AA15" s="576" t="s">
        <v>37</v>
      </c>
      <c r="AB15" s="575">
        <f t="shared" si="3"/>
        <v>13</v>
      </c>
      <c r="AC15" s="576" t="s">
        <v>35</v>
      </c>
      <c r="AD15" s="575">
        <f t="shared" si="4"/>
        <v>33</v>
      </c>
      <c r="AE15" s="358" t="s">
        <v>36</v>
      </c>
      <c r="AF15" s="575">
        <f t="shared" si="5"/>
        <v>53</v>
      </c>
      <c r="AG15" s="358" t="str">
        <f>CONCATENATE(CHOOSE(MOD(AH15,10)+1,"癸","甲","乙","丙","丁","戊","己","庚","辛","壬"),(CHOOSE(MOD(AH15,12)+1,"亥","子","丑","寅","卯","辰","巳","午","未","申","酉","戌")))</f>
        <v>癸酉</v>
      </c>
      <c r="AH15" s="575">
        <f t="shared" si="6"/>
        <v>10</v>
      </c>
    </row>
    <row r="16" spans="1:36" ht="14.4">
      <c r="B16" s="242">
        <v>13</v>
      </c>
      <c r="C16" s="243" t="s">
        <v>619</v>
      </c>
      <c r="D16" s="244">
        <v>2</v>
      </c>
      <c r="E16" s="245">
        <f t="shared" si="1"/>
        <v>167.25</v>
      </c>
      <c r="F16" s="229">
        <v>-3</v>
      </c>
      <c r="G16" s="230"/>
      <c r="H16" s="231" t="s">
        <v>89</v>
      </c>
      <c r="I16" s="232">
        <f>I15</f>
        <v>5</v>
      </c>
      <c r="J16" s="233" t="s">
        <v>403</v>
      </c>
      <c r="K16" s="234" t="s">
        <v>421</v>
      </c>
      <c r="L16" s="253">
        <v>25</v>
      </c>
      <c r="M16" s="236">
        <v>20</v>
      </c>
      <c r="N16" s="237">
        <v>-3</v>
      </c>
      <c r="O16" s="272">
        <f>67+1/12</f>
        <v>67.083333333333329</v>
      </c>
      <c r="P16" s="238" t="s">
        <v>330</v>
      </c>
      <c r="Q16" s="239">
        <v>65</v>
      </c>
      <c r="R16" s="240">
        <f t="shared" si="0"/>
        <v>35</v>
      </c>
      <c r="S16" s="234" t="s">
        <v>410</v>
      </c>
      <c r="T16" s="272">
        <f>12+2/12</f>
        <v>12.166666666666666</v>
      </c>
      <c r="U16" s="241">
        <v>-2</v>
      </c>
      <c r="V16" s="234" t="s">
        <v>417</v>
      </c>
      <c r="W16" s="272">
        <f>12+2/12</f>
        <v>12.166666666666666</v>
      </c>
      <c r="X16" s="241">
        <v>3</v>
      </c>
      <c r="Z16" s="25">
        <f t="shared" si="2"/>
        <v>13</v>
      </c>
      <c r="AA16" s="576" t="s">
        <v>41</v>
      </c>
      <c r="AB16" s="575">
        <f t="shared" si="3"/>
        <v>29</v>
      </c>
      <c r="AC16" s="576" t="s">
        <v>39</v>
      </c>
      <c r="AD16" s="575">
        <f t="shared" si="4"/>
        <v>49</v>
      </c>
      <c r="AE16" s="358" t="s">
        <v>40</v>
      </c>
      <c r="AF16" s="575">
        <f t="shared" si="5"/>
        <v>9</v>
      </c>
      <c r="AG16" s="358" t="str">
        <f t="shared" si="7"/>
        <v>壬子</v>
      </c>
      <c r="AH16" s="575">
        <f t="shared" si="6"/>
        <v>49</v>
      </c>
    </row>
    <row r="17" spans="2:34" ht="14.4">
      <c r="B17" s="242">
        <v>14</v>
      </c>
      <c r="C17" s="243" t="s">
        <v>418</v>
      </c>
      <c r="D17" s="244">
        <v>9</v>
      </c>
      <c r="E17" s="245">
        <f t="shared" si="1"/>
        <v>169.25</v>
      </c>
      <c r="F17" s="229">
        <v>-4</v>
      </c>
      <c r="G17" s="230"/>
      <c r="H17" s="246" t="s">
        <v>90</v>
      </c>
      <c r="I17" s="232">
        <f>I16+1</f>
        <v>6</v>
      </c>
      <c r="J17" s="233" t="s">
        <v>407</v>
      </c>
      <c r="K17" s="234" t="s">
        <v>429</v>
      </c>
      <c r="L17" s="253">
        <v>3</v>
      </c>
      <c r="M17" s="236">
        <v>27</v>
      </c>
      <c r="N17" s="237">
        <v>0</v>
      </c>
      <c r="O17" s="272">
        <f>67+10/12</f>
        <v>67.833333333333329</v>
      </c>
      <c r="P17" s="238" t="s">
        <v>336</v>
      </c>
      <c r="Q17" s="239">
        <v>64.7</v>
      </c>
      <c r="R17" s="240">
        <f t="shared" si="0"/>
        <v>35.299999999999997</v>
      </c>
      <c r="S17" s="234" t="s">
        <v>416</v>
      </c>
      <c r="T17" s="272">
        <f>1+10/12</f>
        <v>1.8333333333333335</v>
      </c>
      <c r="U17" s="241">
        <v>-3</v>
      </c>
      <c r="V17" s="234" t="s">
        <v>405</v>
      </c>
      <c r="W17" s="272">
        <f>2+10/12</f>
        <v>2.8333333333333335</v>
      </c>
      <c r="X17" s="241">
        <v>0</v>
      </c>
      <c r="Z17" s="25">
        <f t="shared" si="2"/>
        <v>14</v>
      </c>
      <c r="AA17" s="576" t="s">
        <v>45</v>
      </c>
      <c r="AB17" s="575">
        <f t="shared" si="3"/>
        <v>45</v>
      </c>
      <c r="AC17" s="576" t="s">
        <v>43</v>
      </c>
      <c r="AD17" s="575">
        <f t="shared" si="4"/>
        <v>5</v>
      </c>
      <c r="AE17" s="358" t="s">
        <v>44</v>
      </c>
      <c r="AF17" s="575">
        <f t="shared" si="5"/>
        <v>25</v>
      </c>
      <c r="AG17" s="358" t="str">
        <f>CONCATENATE(CHOOSE(MOD(AH17,10)+1,"癸","甲","乙","丙","丁","戊","己","庚","辛","壬"),(CHOOSE(MOD(AH17,12)+1,"亥","子","丑","寅","卯","辰","巳","午","未","申","酉","戌")))</f>
        <v>辛卯</v>
      </c>
      <c r="AH17" s="575">
        <f t="shared" si="6"/>
        <v>28</v>
      </c>
    </row>
    <row r="18" spans="2:34" ht="14.4">
      <c r="B18" s="249">
        <v>15</v>
      </c>
      <c r="C18" s="250" t="s">
        <v>421</v>
      </c>
      <c r="D18" s="251">
        <v>33</v>
      </c>
      <c r="E18" s="252">
        <f t="shared" si="1"/>
        <v>178.25</v>
      </c>
      <c r="F18" s="229">
        <v>-3</v>
      </c>
      <c r="G18" s="230"/>
      <c r="H18" s="246" t="s">
        <v>91</v>
      </c>
      <c r="I18" s="232">
        <f>I17</f>
        <v>6</v>
      </c>
      <c r="J18" s="233" t="s">
        <v>403</v>
      </c>
      <c r="K18" s="234" t="s">
        <v>423</v>
      </c>
      <c r="L18" s="253">
        <v>4</v>
      </c>
      <c r="M18" s="236">
        <v>2</v>
      </c>
      <c r="N18" s="237">
        <v>1</v>
      </c>
      <c r="O18" s="272">
        <v>70</v>
      </c>
      <c r="P18" s="238" t="s">
        <v>342</v>
      </c>
      <c r="Q18" s="239">
        <v>63.8</v>
      </c>
      <c r="R18" s="240">
        <f t="shared" si="0"/>
        <v>36.200000000000003</v>
      </c>
      <c r="S18" s="234" t="s">
        <v>416</v>
      </c>
      <c r="T18" s="273">
        <f>15+5/12</f>
        <v>15.416666666666666</v>
      </c>
      <c r="U18" s="241">
        <v>-3</v>
      </c>
      <c r="V18" s="234" t="s">
        <v>409</v>
      </c>
      <c r="W18" s="272">
        <v>3.75</v>
      </c>
      <c r="X18" s="241">
        <v>-1</v>
      </c>
      <c r="Z18" s="25">
        <f t="shared" si="2"/>
        <v>15</v>
      </c>
      <c r="AA18" s="576" t="s">
        <v>34</v>
      </c>
      <c r="AB18" s="575">
        <f t="shared" si="3"/>
        <v>1</v>
      </c>
      <c r="AC18" s="576" t="s">
        <v>47</v>
      </c>
      <c r="AD18" s="575">
        <f t="shared" si="4"/>
        <v>21</v>
      </c>
      <c r="AE18" s="358" t="s">
        <v>48</v>
      </c>
      <c r="AF18" s="575">
        <f t="shared" si="5"/>
        <v>41</v>
      </c>
      <c r="AG18" s="358" t="str">
        <f t="shared" si="7"/>
        <v>庚午</v>
      </c>
      <c r="AH18" s="575">
        <f t="shared" si="6"/>
        <v>7</v>
      </c>
    </row>
    <row r="19" spans="2:34" ht="14.4">
      <c r="B19" s="242">
        <v>16</v>
      </c>
      <c r="C19" s="243" t="s">
        <v>422</v>
      </c>
      <c r="D19" s="244">
        <v>4</v>
      </c>
      <c r="E19" s="245">
        <f t="shared" si="1"/>
        <v>211.25</v>
      </c>
      <c r="F19" s="229"/>
      <c r="G19" s="230"/>
      <c r="H19" s="246" t="s">
        <v>92</v>
      </c>
      <c r="I19" s="232">
        <f>I18+1</f>
        <v>7</v>
      </c>
      <c r="J19" s="233" t="s">
        <v>407</v>
      </c>
      <c r="K19" s="234" t="s">
        <v>425</v>
      </c>
      <c r="L19" s="253">
        <v>12</v>
      </c>
      <c r="M19" s="236">
        <v>9</v>
      </c>
      <c r="N19" s="237">
        <v>1</v>
      </c>
      <c r="O19" s="272">
        <f>73+7/12</f>
        <v>73.583333333333329</v>
      </c>
      <c r="P19" s="247" t="s">
        <v>349</v>
      </c>
      <c r="Q19" s="239">
        <v>62.3</v>
      </c>
      <c r="R19" s="240">
        <f t="shared" si="0"/>
        <v>37.700000000000003</v>
      </c>
      <c r="S19" s="234" t="s">
        <v>419</v>
      </c>
      <c r="T19" s="272">
        <f>9+10/12</f>
        <v>9.8333333333333339</v>
      </c>
      <c r="U19" s="241">
        <v>-3</v>
      </c>
      <c r="V19" s="234" t="s">
        <v>412</v>
      </c>
      <c r="W19" s="272">
        <f>9+8/12</f>
        <v>9.6666666666666661</v>
      </c>
      <c r="X19" s="241">
        <v>-1</v>
      </c>
      <c r="Z19" s="25">
        <f t="shared" si="2"/>
        <v>16</v>
      </c>
      <c r="AA19" s="576" t="s">
        <v>31</v>
      </c>
      <c r="AB19" s="575">
        <f t="shared" si="3"/>
        <v>17</v>
      </c>
      <c r="AC19" s="576" t="s">
        <v>32</v>
      </c>
      <c r="AD19" s="575">
        <f t="shared" si="4"/>
        <v>37</v>
      </c>
      <c r="AE19" s="358" t="s">
        <v>33</v>
      </c>
      <c r="AF19" s="575">
        <f t="shared" si="5"/>
        <v>57</v>
      </c>
      <c r="AG19" s="358" t="s">
        <v>833</v>
      </c>
      <c r="AH19" s="575">
        <f t="shared" si="6"/>
        <v>46</v>
      </c>
    </row>
    <row r="20" spans="2:34" ht="14.4">
      <c r="B20" s="242">
        <v>17</v>
      </c>
      <c r="C20" s="243" t="s">
        <v>429</v>
      </c>
      <c r="D20" s="244">
        <v>15</v>
      </c>
      <c r="E20" s="245">
        <f t="shared" si="1"/>
        <v>215.25</v>
      </c>
      <c r="F20" s="229"/>
      <c r="G20" s="230"/>
      <c r="H20" s="246" t="s">
        <v>93</v>
      </c>
      <c r="I20" s="232">
        <f>I19</f>
        <v>7</v>
      </c>
      <c r="J20" s="233" t="s">
        <v>403</v>
      </c>
      <c r="K20" s="234" t="s">
        <v>427</v>
      </c>
      <c r="L20" s="253">
        <v>9</v>
      </c>
      <c r="M20" s="236">
        <v>16</v>
      </c>
      <c r="N20" s="237">
        <v>2</v>
      </c>
      <c r="O20" s="272">
        <f>78+7/12</f>
        <v>78.583333333333329</v>
      </c>
      <c r="P20" s="247" t="s">
        <v>354</v>
      </c>
      <c r="Q20" s="239">
        <v>60.2</v>
      </c>
      <c r="R20" s="240">
        <f t="shared" si="0"/>
        <v>39.799999999999997</v>
      </c>
      <c r="S20" s="234" t="s">
        <v>404</v>
      </c>
      <c r="T20" s="272">
        <v>10.25</v>
      </c>
      <c r="U20" s="241">
        <v>-2</v>
      </c>
      <c r="V20" s="234" t="s">
        <v>415</v>
      </c>
      <c r="W20" s="272">
        <v>3.75</v>
      </c>
      <c r="X20" s="241">
        <v>-3</v>
      </c>
      <c r="Z20" s="25">
        <f t="shared" si="2"/>
        <v>17</v>
      </c>
      <c r="AA20" s="576" t="s">
        <v>35</v>
      </c>
      <c r="AB20" s="575">
        <f t="shared" si="3"/>
        <v>33</v>
      </c>
      <c r="AC20" s="576" t="s">
        <v>36</v>
      </c>
      <c r="AD20" s="575">
        <f t="shared" si="4"/>
        <v>53</v>
      </c>
      <c r="AE20" s="358" t="s">
        <v>37</v>
      </c>
      <c r="AF20" s="575">
        <f t="shared" si="5"/>
        <v>13</v>
      </c>
      <c r="AG20" s="358" t="str">
        <f t="shared" si="7"/>
        <v>戊子</v>
      </c>
      <c r="AH20" s="575">
        <f t="shared" si="6"/>
        <v>25</v>
      </c>
    </row>
    <row r="21" spans="2:34" ht="14.4">
      <c r="B21" s="242">
        <v>18</v>
      </c>
      <c r="C21" s="243" t="s">
        <v>423</v>
      </c>
      <c r="D21" s="244">
        <v>7</v>
      </c>
      <c r="E21" s="245">
        <f t="shared" si="1"/>
        <v>230.25</v>
      </c>
      <c r="F21" s="229">
        <v>1</v>
      </c>
      <c r="G21" s="230"/>
      <c r="H21" s="246" t="s">
        <v>94</v>
      </c>
      <c r="I21" s="232">
        <f>I20+1</f>
        <v>8</v>
      </c>
      <c r="J21" s="233" t="s">
        <v>407</v>
      </c>
      <c r="K21" s="234" t="s">
        <v>430</v>
      </c>
      <c r="L21" s="253">
        <v>6</v>
      </c>
      <c r="M21" s="236">
        <v>23</v>
      </c>
      <c r="N21" s="237">
        <v>1</v>
      </c>
      <c r="O21" s="272">
        <f>84+4/12</f>
        <v>84.333333333333329</v>
      </c>
      <c r="P21" s="247" t="s">
        <v>359</v>
      </c>
      <c r="Q21" s="239">
        <v>57.8</v>
      </c>
      <c r="R21" s="240">
        <f t="shared" si="0"/>
        <v>42.2</v>
      </c>
      <c r="S21" s="234" t="s">
        <v>404</v>
      </c>
      <c r="T21" s="272">
        <f>21+1/12</f>
        <v>21.083333333333332</v>
      </c>
      <c r="U21" s="241">
        <v>-2</v>
      </c>
      <c r="V21" s="234" t="s">
        <v>418</v>
      </c>
      <c r="W21" s="272">
        <f>5+5/12</f>
        <v>5.416666666666667</v>
      </c>
      <c r="X21" s="241">
        <v>-4</v>
      </c>
      <c r="Z21" s="25">
        <f t="shared" si="2"/>
        <v>18</v>
      </c>
      <c r="AA21" s="576" t="s">
        <v>39</v>
      </c>
      <c r="AB21" s="575">
        <f t="shared" si="3"/>
        <v>49</v>
      </c>
      <c r="AC21" s="576" t="s">
        <v>40</v>
      </c>
      <c r="AD21" s="575">
        <f t="shared" si="4"/>
        <v>9</v>
      </c>
      <c r="AE21" s="358" t="s">
        <v>41</v>
      </c>
      <c r="AF21" s="575">
        <f t="shared" si="5"/>
        <v>29</v>
      </c>
      <c r="AG21" s="358" t="str">
        <f t="shared" si="7"/>
        <v>丁卯</v>
      </c>
      <c r="AH21" s="575">
        <f t="shared" si="6"/>
        <v>4</v>
      </c>
    </row>
    <row r="22" spans="2:34" ht="14.4">
      <c r="B22" s="242">
        <v>19</v>
      </c>
      <c r="C22" s="243" t="s">
        <v>425</v>
      </c>
      <c r="D22" s="244">
        <v>18</v>
      </c>
      <c r="E22" s="245">
        <f t="shared" si="1"/>
        <v>237.25</v>
      </c>
      <c r="F22" s="229">
        <v>1</v>
      </c>
      <c r="G22" s="230"/>
      <c r="H22" s="246" t="s">
        <v>95</v>
      </c>
      <c r="I22" s="232">
        <f>I21</f>
        <v>8</v>
      </c>
      <c r="J22" s="233" t="s">
        <v>403</v>
      </c>
      <c r="K22" s="234" t="s">
        <v>428</v>
      </c>
      <c r="L22" s="253">
        <v>4</v>
      </c>
      <c r="M22" s="236">
        <v>30</v>
      </c>
      <c r="N22" s="237">
        <v>0</v>
      </c>
      <c r="O22" s="272">
        <f>90+7/12</f>
        <v>90.583333333333329</v>
      </c>
      <c r="P22" s="248" t="s">
        <v>365</v>
      </c>
      <c r="Q22" s="239">
        <v>55.2</v>
      </c>
      <c r="R22" s="240">
        <f t="shared" si="0"/>
        <v>44.8</v>
      </c>
      <c r="S22" s="234" t="s">
        <v>426</v>
      </c>
      <c r="T22" s="272">
        <f>5.25</f>
        <v>5.25</v>
      </c>
      <c r="U22" s="241">
        <v>0</v>
      </c>
      <c r="V22" s="234" t="s">
        <v>421</v>
      </c>
      <c r="W22" s="272">
        <f>16+4/12</f>
        <v>16.333333333333332</v>
      </c>
      <c r="X22" s="241">
        <v>-3</v>
      </c>
      <c r="Z22" s="25">
        <f t="shared" si="2"/>
        <v>19</v>
      </c>
      <c r="AA22" s="576" t="s">
        <v>43</v>
      </c>
      <c r="AB22" s="575">
        <f t="shared" si="3"/>
        <v>5</v>
      </c>
      <c r="AC22" s="576" t="s">
        <v>44</v>
      </c>
      <c r="AD22" s="575">
        <f t="shared" si="4"/>
        <v>25</v>
      </c>
      <c r="AE22" s="358" t="s">
        <v>45</v>
      </c>
      <c r="AF22" s="575">
        <f t="shared" si="5"/>
        <v>45</v>
      </c>
      <c r="AG22" s="358" t="str">
        <f t="shared" si="7"/>
        <v>丙午</v>
      </c>
      <c r="AH22" s="575">
        <f t="shared" si="6"/>
        <v>43</v>
      </c>
    </row>
    <row r="23" spans="2:34" ht="14.4">
      <c r="B23" s="242">
        <v>20</v>
      </c>
      <c r="C23" s="243" t="s">
        <v>427</v>
      </c>
      <c r="D23" s="244">
        <v>18</v>
      </c>
      <c r="E23" s="245">
        <f t="shared" si="1"/>
        <v>255.25</v>
      </c>
      <c r="F23" s="229">
        <v>2</v>
      </c>
      <c r="G23" s="230"/>
      <c r="H23" s="246" t="s">
        <v>96</v>
      </c>
      <c r="I23" s="232">
        <f>I22+1</f>
        <v>9</v>
      </c>
      <c r="J23" s="233" t="s">
        <v>407</v>
      </c>
      <c r="K23" s="234" t="s">
        <v>406</v>
      </c>
      <c r="L23" s="253">
        <v>8</v>
      </c>
      <c r="M23" s="236">
        <v>5</v>
      </c>
      <c r="N23" s="237">
        <v>-1</v>
      </c>
      <c r="O23" s="272">
        <f>96+10/12</f>
        <v>96.833333333333329</v>
      </c>
      <c r="P23" s="247" t="s">
        <v>370</v>
      </c>
      <c r="Q23" s="239">
        <v>52.6</v>
      </c>
      <c r="R23" s="240">
        <f t="shared" si="0"/>
        <v>47.4</v>
      </c>
      <c r="S23" s="234" t="s">
        <v>408</v>
      </c>
      <c r="T23" s="272">
        <v>7.75</v>
      </c>
      <c r="U23" s="241">
        <v>1</v>
      </c>
      <c r="V23" s="234" t="s">
        <v>422</v>
      </c>
      <c r="W23" s="272">
        <f>3+4/12</f>
        <v>3.3333333333333335</v>
      </c>
      <c r="X23" s="241">
        <v>0</v>
      </c>
      <c r="Z23" s="25">
        <f t="shared" si="2"/>
        <v>20</v>
      </c>
      <c r="AA23" s="576" t="s">
        <v>47</v>
      </c>
      <c r="AB23" s="575">
        <f t="shared" si="3"/>
        <v>21</v>
      </c>
      <c r="AC23" s="576" t="s">
        <v>48</v>
      </c>
      <c r="AD23" s="575">
        <f t="shared" si="4"/>
        <v>41</v>
      </c>
      <c r="AE23" s="358" t="s">
        <v>34</v>
      </c>
      <c r="AF23" s="575">
        <f t="shared" si="5"/>
        <v>1</v>
      </c>
      <c r="AG23" s="358" t="str">
        <f t="shared" si="7"/>
        <v>乙酉</v>
      </c>
      <c r="AH23" s="575">
        <f t="shared" si="6"/>
        <v>22</v>
      </c>
    </row>
    <row r="24" spans="2:34" ht="14.4">
      <c r="B24" s="254">
        <v>21</v>
      </c>
      <c r="C24" s="255" t="s">
        <v>430</v>
      </c>
      <c r="D24" s="256">
        <v>17</v>
      </c>
      <c r="E24" s="257">
        <f t="shared" si="1"/>
        <v>273.25</v>
      </c>
      <c r="F24" s="229">
        <v>1</v>
      </c>
      <c r="G24" s="230"/>
      <c r="H24" s="246" t="s">
        <v>97</v>
      </c>
      <c r="I24" s="232">
        <f>I23</f>
        <v>9</v>
      </c>
      <c r="J24" s="233" t="s">
        <v>403</v>
      </c>
      <c r="K24" s="234" t="s">
        <v>410</v>
      </c>
      <c r="L24" s="253">
        <v>14</v>
      </c>
      <c r="M24" s="236">
        <v>12</v>
      </c>
      <c r="N24" s="237">
        <v>-2</v>
      </c>
      <c r="O24" s="272">
        <f>102+4/12</f>
        <v>102.33333333333333</v>
      </c>
      <c r="P24" s="238" t="s">
        <v>376</v>
      </c>
      <c r="Q24" s="239">
        <v>50.3</v>
      </c>
      <c r="R24" s="240">
        <f t="shared" si="0"/>
        <v>49.7</v>
      </c>
      <c r="S24" s="234" t="s">
        <v>411</v>
      </c>
      <c r="T24" s="272">
        <v>6.75</v>
      </c>
      <c r="U24" s="241">
        <v>2</v>
      </c>
      <c r="V24" s="234" t="s">
        <v>423</v>
      </c>
      <c r="W24" s="272">
        <f>3+10/12</f>
        <v>3.8333333333333335</v>
      </c>
      <c r="X24" s="241">
        <v>1</v>
      </c>
    </row>
    <row r="25" spans="2:34" ht="14.4">
      <c r="B25" s="258">
        <v>22</v>
      </c>
      <c r="C25" s="259" t="s">
        <v>428</v>
      </c>
      <c r="D25" s="260">
        <v>12</v>
      </c>
      <c r="E25" s="261">
        <f t="shared" si="1"/>
        <v>290.25</v>
      </c>
      <c r="F25" s="262"/>
      <c r="G25" s="230"/>
      <c r="H25" s="246" t="s">
        <v>74</v>
      </c>
      <c r="I25" s="232">
        <f>I24+1</f>
        <v>10</v>
      </c>
      <c r="J25" s="233" t="s">
        <v>407</v>
      </c>
      <c r="K25" s="234" t="s">
        <v>416</v>
      </c>
      <c r="L25" s="253">
        <v>4</v>
      </c>
      <c r="M25" s="236">
        <v>19</v>
      </c>
      <c r="N25" s="237">
        <v>-3</v>
      </c>
      <c r="O25" s="272">
        <f>107+4/12</f>
        <v>107.33333333333333</v>
      </c>
      <c r="P25" s="247" t="s">
        <v>381</v>
      </c>
      <c r="Q25" s="239">
        <v>48.2</v>
      </c>
      <c r="R25" s="240">
        <f t="shared" si="0"/>
        <v>51.8</v>
      </c>
      <c r="S25" s="234" t="s">
        <v>414</v>
      </c>
      <c r="T25" s="272">
        <f>8+1/12</f>
        <v>8.0833333333333339</v>
      </c>
      <c r="U25" s="241">
        <v>2</v>
      </c>
      <c r="V25" s="234" t="s">
        <v>425</v>
      </c>
      <c r="W25" s="272">
        <f>15+10/12</f>
        <v>15.833333333333334</v>
      </c>
      <c r="X25" s="241">
        <v>1</v>
      </c>
    </row>
    <row r="26" spans="2:34" ht="14.4">
      <c r="B26" s="242">
        <v>23</v>
      </c>
      <c r="C26" s="243" t="s">
        <v>406</v>
      </c>
      <c r="D26" s="244">
        <v>9</v>
      </c>
      <c r="E26" s="245">
        <f t="shared" si="1"/>
        <v>302.25</v>
      </c>
      <c r="F26" s="229">
        <v>-1</v>
      </c>
      <c r="G26" s="230"/>
      <c r="H26" s="246" t="s">
        <v>75</v>
      </c>
      <c r="I26" s="232">
        <f>I25</f>
        <v>10</v>
      </c>
      <c r="J26" s="233" t="s">
        <v>403</v>
      </c>
      <c r="K26" s="234" t="s">
        <v>419</v>
      </c>
      <c r="L26" s="253">
        <v>1</v>
      </c>
      <c r="M26" s="236">
        <v>26</v>
      </c>
      <c r="N26" s="237">
        <v>-3</v>
      </c>
      <c r="O26" s="272">
        <f>111-1/12</f>
        <v>110.91666666666667</v>
      </c>
      <c r="P26" s="238" t="s">
        <v>387</v>
      </c>
      <c r="Q26" s="239">
        <v>46.7</v>
      </c>
      <c r="R26" s="240">
        <f t="shared" si="0"/>
        <v>53.3</v>
      </c>
      <c r="S26" s="234" t="s">
        <v>417</v>
      </c>
      <c r="T26" s="273">
        <f>3+7/12</f>
        <v>3.5833333333333335</v>
      </c>
      <c r="U26" s="241">
        <v>3</v>
      </c>
      <c r="V26" s="234" t="s">
        <v>427</v>
      </c>
      <c r="W26" s="272">
        <f>15+10/12</f>
        <v>15.833333333333334</v>
      </c>
      <c r="X26" s="241">
        <v>2</v>
      </c>
    </row>
    <row r="27" spans="2:34" ht="14.4">
      <c r="B27" s="242">
        <v>24</v>
      </c>
      <c r="C27" s="243" t="s">
        <v>410</v>
      </c>
      <c r="D27" s="244">
        <v>15</v>
      </c>
      <c r="E27" s="245">
        <f t="shared" si="1"/>
        <v>311.25</v>
      </c>
      <c r="F27" s="229">
        <v>-2</v>
      </c>
      <c r="G27" s="230"/>
      <c r="H27" s="246" t="s">
        <v>76</v>
      </c>
      <c r="I27" s="232">
        <f>I26+1</f>
        <v>11</v>
      </c>
      <c r="J27" s="233" t="s">
        <v>407</v>
      </c>
      <c r="K27" s="234" t="s">
        <v>404</v>
      </c>
      <c r="L27" s="253">
        <v>6</v>
      </c>
      <c r="M27" s="236">
        <v>1</v>
      </c>
      <c r="N27" s="237">
        <v>-2</v>
      </c>
      <c r="O27" s="272">
        <f>113+10/12</f>
        <v>113.83333333333333</v>
      </c>
      <c r="P27" s="247" t="s">
        <v>390</v>
      </c>
      <c r="Q27" s="239">
        <v>45.5</v>
      </c>
      <c r="R27" s="240">
        <f t="shared" si="0"/>
        <v>54.5</v>
      </c>
      <c r="S27" s="234" t="s">
        <v>420</v>
      </c>
      <c r="T27" s="272">
        <f>7/12</f>
        <v>0.58333333333333337</v>
      </c>
      <c r="U27" s="241">
        <v>1</v>
      </c>
      <c r="V27" s="234" t="s">
        <v>430</v>
      </c>
      <c r="W27" s="272">
        <f>15-1/12</f>
        <v>14.916666666666666</v>
      </c>
      <c r="X27" s="241">
        <v>1</v>
      </c>
    </row>
    <row r="28" spans="2:34">
      <c r="B28" s="242">
        <v>25</v>
      </c>
      <c r="C28" s="243" t="s">
        <v>620</v>
      </c>
      <c r="D28" s="244">
        <v>5</v>
      </c>
      <c r="E28" s="245">
        <f t="shared" si="1"/>
        <v>326.25</v>
      </c>
      <c r="F28" s="229">
        <v>-3</v>
      </c>
    </row>
    <row r="29" spans="2:34">
      <c r="B29" s="242">
        <v>26</v>
      </c>
      <c r="C29" s="243" t="s">
        <v>413</v>
      </c>
      <c r="D29" s="244">
        <v>5</v>
      </c>
      <c r="E29" s="245">
        <f t="shared" si="1"/>
        <v>331.25</v>
      </c>
      <c r="F29" s="229">
        <v>-3</v>
      </c>
    </row>
    <row r="30" spans="2:34">
      <c r="B30" s="242">
        <v>27</v>
      </c>
      <c r="C30" s="243" t="s">
        <v>416</v>
      </c>
      <c r="D30" s="244">
        <v>18</v>
      </c>
      <c r="E30" s="245">
        <f t="shared" si="1"/>
        <v>336.25</v>
      </c>
      <c r="F30" s="229">
        <v>-3</v>
      </c>
    </row>
    <row r="31" spans="2:34">
      <c r="B31" s="242">
        <v>28</v>
      </c>
      <c r="C31" s="243" t="s">
        <v>419</v>
      </c>
      <c r="D31" s="244">
        <v>11</v>
      </c>
      <c r="E31" s="245">
        <f t="shared" si="1"/>
        <v>354.25</v>
      </c>
      <c r="F31" s="229">
        <v>-3</v>
      </c>
    </row>
    <row r="32" spans="2:34">
      <c r="B32" s="263">
        <v>1</v>
      </c>
      <c r="C32" s="264" t="s">
        <v>404</v>
      </c>
      <c r="D32" s="265">
        <v>26.25</v>
      </c>
      <c r="E32" s="266">
        <f t="shared" si="1"/>
        <v>365.25</v>
      </c>
      <c r="F32" s="267"/>
    </row>
  </sheetData>
  <sheetProtection selectLockedCells="1" selectUnlockedCells="1"/>
  <mergeCells count="4">
    <mergeCell ref="H3:J3"/>
    <mergeCell ref="K3:N3"/>
    <mergeCell ref="S3:U3"/>
    <mergeCell ref="V3:X3"/>
  </mergeCells>
  <pageMargins left="0.78749999999999998" right="0.78749999999999998" top="1.0249999999999999" bottom="1.0249999999999999" header="0.78749999999999998" footer="0.78749999999999998"/>
  <pageSetup orientation="portrait" horizontalDpi="300" verticalDpi="300" r:id="rId1"/>
  <headerFooter alignWithMargins="0">
    <oddHeader>&amp;C&amp;"Arial,Regular"&amp;A</oddHeader>
    <oddFooter>&amp;C&amp;"Arial,Regular"Page &amp;P</oddFooter>
  </headerFooter>
</worksheet>
</file>

<file path=docProps/app.xml><?xml version="1.0" encoding="utf-8"?>
<Properties xmlns="http://schemas.openxmlformats.org/officeDocument/2006/extended-properties" xmlns:vt="http://schemas.openxmlformats.org/officeDocument/2006/docPropsVTypes">
  <TotalTime>1091</TotalTime>
  <Application>Microsoft Excel</Application>
  <DocSecurity>0</DocSecurity>
  <ScaleCrop>false</ScaleCrop>
  <HeadingPairs>
    <vt:vector size="4" baseType="variant">
      <vt:variant>
        <vt:lpstr>Worksheets</vt:lpstr>
      </vt:variant>
      <vt:variant>
        <vt:i4>3</vt:i4>
      </vt:variant>
      <vt:variant>
        <vt:lpstr>Named Ranges</vt:lpstr>
      </vt:variant>
      <vt:variant>
        <vt:i4>343</vt:i4>
      </vt:variant>
    </vt:vector>
  </HeadingPairs>
  <TitlesOfParts>
    <vt:vector size="346" baseType="lpstr">
      <vt:lpstr>The Text</vt:lpstr>
      <vt:lpstr>Planetary Tables</vt:lpstr>
      <vt:lpstr>Tables</vt:lpstr>
      <vt:lpstr>accumulated.days</vt:lpstr>
      <vt:lpstr>accumulated.months</vt:lpstr>
      <vt:lpstr>big.month.days</vt:lpstr>
      <vt:lpstr>Buhui.Head</vt:lpstr>
      <vt:lpstr>buyue</vt:lpstr>
      <vt:lpstr>current.year</vt:lpstr>
      <vt:lpstr>earth.era.names</vt:lpstr>
      <vt:lpstr>earth.era.numbers</vt:lpstr>
      <vt:lpstr>eclipse.epoch</vt:lpstr>
      <vt:lpstr>eclipse.jiyue</vt:lpstr>
      <vt:lpstr>eclipse.month</vt:lpstr>
      <vt:lpstr>eclipse.number</vt:lpstr>
      <vt:lpstr>eclipse.year</vt:lpstr>
      <vt:lpstr>Epochal.year</vt:lpstr>
      <vt:lpstr>Era.Julian.Date</vt:lpstr>
      <vt:lpstr>Han.Solar.table.day.marks</vt:lpstr>
      <vt:lpstr>Han.Solar.table.night.marks</vt:lpstr>
      <vt:lpstr>Han.Solar.table.qi.names</vt:lpstr>
      <vt:lpstr>heaven.era.names</vt:lpstr>
      <vt:lpstr>heaven.era.numbers</vt:lpstr>
      <vt:lpstr>Hexagram.Julian.days</vt:lpstr>
      <vt:lpstr>Hexagram.names</vt:lpstr>
      <vt:lpstr>High.Origin.Julian.Day</vt:lpstr>
      <vt:lpstr>High.origin.year</vt:lpstr>
      <vt:lpstr>Huo.hejiyue</vt:lpstr>
      <vt:lpstr>Huo.ridufa</vt:lpstr>
      <vt:lpstr>Huo.yueyu</vt:lpstr>
      <vt:lpstr>JD.era.head</vt:lpstr>
      <vt:lpstr>JD.high.origin</vt:lpstr>
      <vt:lpstr>JD.new.moon</vt:lpstr>
      <vt:lpstr>JD.offset</vt:lpstr>
      <vt:lpstr>JD.winter.solstice</vt:lpstr>
      <vt:lpstr>jin.hejiyue</vt:lpstr>
      <vt:lpstr>jin.ridufa</vt:lpstr>
      <vt:lpstr>jin.yuefa</vt:lpstr>
      <vt:lpstr>jin.yueyu</vt:lpstr>
      <vt:lpstr>Jupiter.days.since.conjunction</vt:lpstr>
      <vt:lpstr>Jupiter.du.since.conjunction</vt:lpstr>
      <vt:lpstr>Jupiter.hidden.day.parts</vt:lpstr>
      <vt:lpstr>Jupiter.hidden.du.parts</vt:lpstr>
      <vt:lpstr>Jupiter.phase.name</vt:lpstr>
      <vt:lpstr>Jupiter.phase.number</vt:lpstr>
      <vt:lpstr>Jupiter.table.accumulated.days</vt:lpstr>
      <vt:lpstr>Jupiter.table.accumulated.days.remainder</vt:lpstr>
      <vt:lpstr>Jupiter.table.day</vt:lpstr>
      <vt:lpstr>Jupiter.table.day.remainder</vt:lpstr>
      <vt:lpstr>Jupiter.table.dipper.du</vt:lpstr>
      <vt:lpstr>Jupiter.table.dipper.du.parts</vt:lpstr>
      <vt:lpstr>Jupiter.table.du</vt:lpstr>
      <vt:lpstr>Jupiter.table.du.parts</vt:lpstr>
      <vt:lpstr>Jupiter.table.lodge</vt:lpstr>
      <vt:lpstr>Jupiter.table.month</vt:lpstr>
      <vt:lpstr>Jupiter.table.number</vt:lpstr>
      <vt:lpstr>Jupiter.table.total.accumulated.days</vt:lpstr>
      <vt:lpstr>Jupiter.table.year</vt:lpstr>
      <vt:lpstr>Jupiter.velocity.denominator</vt:lpstr>
      <vt:lpstr>Jupiter.velocity.divisor</vt:lpstr>
      <vt:lpstr>Jupiter.visible.day.parts</vt:lpstr>
      <vt:lpstr>Jupiter.visible.du.parts</vt:lpstr>
      <vt:lpstr>lodge.dipper.du</vt:lpstr>
      <vt:lpstr>lodge.jintui</vt:lpstr>
      <vt:lpstr>lodge.names</vt:lpstr>
      <vt:lpstr>lodge.RA.lunar</vt:lpstr>
      <vt:lpstr>lodge.RA.solar</vt:lpstr>
      <vt:lpstr>lunar.table.civil.month</vt:lpstr>
      <vt:lpstr>lunar.table.civil.months</vt:lpstr>
      <vt:lpstr>lunar.table.days</vt:lpstr>
      <vt:lpstr>lunar.table.phenomena</vt:lpstr>
      <vt:lpstr>man.era.names</vt:lpstr>
      <vt:lpstr>man.era.numbers</vt:lpstr>
      <vt:lpstr>Mars.days.since.conjunction</vt:lpstr>
      <vt:lpstr>Mars.du.since.conjunction</vt:lpstr>
      <vt:lpstr>Mars.hidden.day.parts</vt:lpstr>
      <vt:lpstr>Mars.hidden.du.parts</vt:lpstr>
      <vt:lpstr>Mars.phase.name</vt:lpstr>
      <vt:lpstr>Mars.phase.number</vt:lpstr>
      <vt:lpstr>Mars.table.accumulated.days</vt:lpstr>
      <vt:lpstr>Mars.table.accumulated.days.remainder</vt:lpstr>
      <vt:lpstr>Mars.table.day</vt:lpstr>
      <vt:lpstr>Mars.table.day.remainder</vt:lpstr>
      <vt:lpstr>Mars.table.dipper.du</vt:lpstr>
      <vt:lpstr>Mars.table.dipper.du.parts</vt:lpstr>
      <vt:lpstr>Mars.table.du</vt:lpstr>
      <vt:lpstr>Mars.table.du.parts</vt:lpstr>
      <vt:lpstr>Mars.table.lodge</vt:lpstr>
      <vt:lpstr>Mars.table.month</vt:lpstr>
      <vt:lpstr>Mars.table.number</vt:lpstr>
      <vt:lpstr>Mars.table.total.accumulated.days</vt:lpstr>
      <vt:lpstr>Mars.table.year</vt:lpstr>
      <vt:lpstr>Mars.velocity.denominator</vt:lpstr>
      <vt:lpstr>Mars.velocity.divisor</vt:lpstr>
      <vt:lpstr>Mars.visible.day.parts</vt:lpstr>
      <vt:lpstr>Mars.visible.du.parts</vt:lpstr>
      <vt:lpstr>mean_lunation</vt:lpstr>
      <vt:lpstr>mean_solar_year</vt:lpstr>
      <vt:lpstr>medial_qi</vt:lpstr>
      <vt:lpstr>Mercury.days.since.conjunction</vt:lpstr>
      <vt:lpstr>Mercury.days.since.conjunction.evening</vt:lpstr>
      <vt:lpstr>Mercury.days.since.conjunction.morning</vt:lpstr>
      <vt:lpstr>Mercury.du.since.conjunction</vt:lpstr>
      <vt:lpstr>Mercury.du.since.conjunction.evening</vt:lpstr>
      <vt:lpstr>Mercury.du.since.conjunction.morning</vt:lpstr>
      <vt:lpstr>Mercury.IC.hidden.day.parts</vt:lpstr>
      <vt:lpstr>Mercury.IC.hidden.du.parts</vt:lpstr>
      <vt:lpstr>Mercury.phase.name</vt:lpstr>
      <vt:lpstr>Mercury.phase.number</vt:lpstr>
      <vt:lpstr>Mercury.SC.hidden.day.parts</vt:lpstr>
      <vt:lpstr>Mercury.SC.hidden.du.parts</vt:lpstr>
      <vt:lpstr>Mercury.table.accumulated.days</vt:lpstr>
      <vt:lpstr>Mercury.table.accumulated.days.remainder</vt:lpstr>
      <vt:lpstr>Mercury.table.day</vt:lpstr>
      <vt:lpstr>Mercury.table.day.remainder</vt:lpstr>
      <vt:lpstr>Mercury.table.dipper.du</vt:lpstr>
      <vt:lpstr>Mercury.table.dipper.du.parts</vt:lpstr>
      <vt:lpstr>Mercury.table.du</vt:lpstr>
      <vt:lpstr>Mercury.table.du.parts</vt:lpstr>
      <vt:lpstr>Mercury.table.lodge</vt:lpstr>
      <vt:lpstr>Mercury.table.month</vt:lpstr>
      <vt:lpstr>Mercury.table.number</vt:lpstr>
      <vt:lpstr>Mercury.table.side</vt:lpstr>
      <vt:lpstr>Mercury.table.total.accumulated.days</vt:lpstr>
      <vt:lpstr>Mercury.table.year</vt:lpstr>
      <vt:lpstr>Mercury.velocity.denominator</vt:lpstr>
      <vt:lpstr>Mercury.velocity.divisor</vt:lpstr>
      <vt:lpstr>Mercury.visible.day.parts</vt:lpstr>
      <vt:lpstr>Mercury.visible.du.parts</vt:lpstr>
      <vt:lpstr>moshu</vt:lpstr>
      <vt:lpstr>mu.dayu</vt:lpstr>
      <vt:lpstr>mu.duyu.accumulated</vt:lpstr>
      <vt:lpstr>mu.hejiyue</vt:lpstr>
      <vt:lpstr>mu.jidu.accumulated</vt:lpstr>
      <vt:lpstr>mu.ridufa</vt:lpstr>
      <vt:lpstr>mu.xiaoyu</vt:lpstr>
      <vt:lpstr>mu.yuefa</vt:lpstr>
      <vt:lpstr>mu.yueyu</vt:lpstr>
      <vt:lpstr>mu.zhoulv</vt:lpstr>
      <vt:lpstr>obscuration.head.numbers</vt:lpstr>
      <vt:lpstr>obscuration.heads</vt:lpstr>
      <vt:lpstr>rifa</vt:lpstr>
      <vt:lpstr>Saturn.days.since.conjunction</vt:lpstr>
      <vt:lpstr>Saturn.du.since.conjunction</vt:lpstr>
      <vt:lpstr>Saturn.hidden.day.parts</vt:lpstr>
      <vt:lpstr>Saturn.hidden.du.parts</vt:lpstr>
      <vt:lpstr>Saturn.phase.name</vt:lpstr>
      <vt:lpstr>Saturn.phase.number</vt:lpstr>
      <vt:lpstr>Saturn.table.accumulated.days</vt:lpstr>
      <vt:lpstr>Saturn.table.accumulated.days.remainder</vt:lpstr>
      <vt:lpstr>Saturn.table.day</vt:lpstr>
      <vt:lpstr>Saturn.table.day.remainder</vt:lpstr>
      <vt:lpstr>Saturn.table.dipper.du</vt:lpstr>
      <vt:lpstr>Saturn.table.dipper.du.parts</vt:lpstr>
      <vt:lpstr>Saturn.table.du</vt:lpstr>
      <vt:lpstr>Saturn.table.du.parts</vt:lpstr>
      <vt:lpstr>Saturn.table.lodge</vt:lpstr>
      <vt:lpstr>Saturn.table.month</vt:lpstr>
      <vt:lpstr>Saturn.table.number</vt:lpstr>
      <vt:lpstr>Saturn.table.total.accumulated.days</vt:lpstr>
      <vt:lpstr>Saturn.table.year</vt:lpstr>
      <vt:lpstr>Saturn.velocity.denominator</vt:lpstr>
      <vt:lpstr>Saturn.velocity.divisor</vt:lpstr>
      <vt:lpstr>Saturn.visible.day.parts</vt:lpstr>
      <vt:lpstr>Saturn.visible.du.parts</vt:lpstr>
      <vt:lpstr>small.month.days</vt:lpstr>
      <vt:lpstr>Solar.table.day</vt:lpstr>
      <vt:lpstr>Solar.table.day.marks</vt:lpstr>
      <vt:lpstr>Solar.table.JD</vt:lpstr>
      <vt:lpstr>Solar.table.names</vt:lpstr>
      <vt:lpstr>Solar.table.night.marks</vt:lpstr>
      <vt:lpstr>Solar.table.qi.names</vt:lpstr>
      <vt:lpstr>Tu.hejiyue</vt:lpstr>
      <vt:lpstr>Tu.ridufa</vt:lpstr>
      <vt:lpstr>Tu.yuefa</vt:lpstr>
      <vt:lpstr>velocity_of_the_sun</vt:lpstr>
      <vt:lpstr>Venus.days.since.conjunction</vt:lpstr>
      <vt:lpstr>Venus.days.since.conjunction.evening</vt:lpstr>
      <vt:lpstr>Venus.days.since.conjunction.morning</vt:lpstr>
      <vt:lpstr>Venus.du.since.conjunction</vt:lpstr>
      <vt:lpstr>Venus.du.since.conjunction.evening</vt:lpstr>
      <vt:lpstr>Venus.du.since.conjunction.morning</vt:lpstr>
      <vt:lpstr>Venus.IC.hidden.day.parts</vt:lpstr>
      <vt:lpstr>Venus.IC.hidden.du.parts</vt:lpstr>
      <vt:lpstr>Venus.phase.name</vt:lpstr>
      <vt:lpstr>Venus.phase.number</vt:lpstr>
      <vt:lpstr>Venus.SC.hidden.day.parts</vt:lpstr>
      <vt:lpstr>Venus.SC.hidden.du.parts</vt:lpstr>
      <vt:lpstr>Venus.table.accumulated.days</vt:lpstr>
      <vt:lpstr>Venus.table.accumulated.days.remainder</vt:lpstr>
      <vt:lpstr>Venus.table.day</vt:lpstr>
      <vt:lpstr>Venus.table.day.remainder</vt:lpstr>
      <vt:lpstr>Venus.table.dipper.du</vt:lpstr>
      <vt:lpstr>Venus.table.dipper.du.parts</vt:lpstr>
      <vt:lpstr>Venus.table.du</vt:lpstr>
      <vt:lpstr>Venus.table.du.parts</vt:lpstr>
      <vt:lpstr>Venus.table.lodge</vt:lpstr>
      <vt:lpstr>Venus.table.month</vt:lpstr>
      <vt:lpstr>Venus.table.number</vt:lpstr>
      <vt:lpstr>Venus.table.side</vt:lpstr>
      <vt:lpstr>Venus.table.total.accumulated.days</vt:lpstr>
      <vt:lpstr>Venus.table.year</vt:lpstr>
      <vt:lpstr>Venus.velocity.denominator</vt:lpstr>
      <vt:lpstr>Venus.velocity.divisor</vt:lpstr>
      <vt:lpstr>Venus.visible.day.parts</vt:lpstr>
      <vt:lpstr>Venus.visible.du.parts</vt:lpstr>
      <vt:lpstr>WS_Epact</vt:lpstr>
      <vt:lpstr>Years.Since.High.Origin</vt:lpstr>
      <vt:lpstr>中法</vt:lpstr>
      <vt:lpstr>元會</vt:lpstr>
      <vt:lpstr>元法</vt:lpstr>
      <vt:lpstr>入曆日</vt:lpstr>
      <vt:lpstr>入章月數</vt:lpstr>
      <vt:lpstr>入章閏數</vt:lpstr>
      <vt:lpstr>入蔀年</vt:lpstr>
      <vt:lpstr>入蔀會年</vt:lpstr>
      <vt:lpstr>周天</vt:lpstr>
      <vt:lpstr>土入月日</vt:lpstr>
      <vt:lpstr>土合積月</vt:lpstr>
      <vt:lpstr>土合終合數</vt:lpstr>
      <vt:lpstr>土周率</vt:lpstr>
      <vt:lpstr>土大餘</vt:lpstr>
      <vt:lpstr>土定積月</vt:lpstr>
      <vt:lpstr>土小餘</vt:lpstr>
      <vt:lpstr>土度餘</vt:lpstr>
      <vt:lpstr>土日度法</vt:lpstr>
      <vt:lpstr>土日率</vt:lpstr>
      <vt:lpstr>土日餘</vt:lpstr>
      <vt:lpstr>土月法</vt:lpstr>
      <vt:lpstr>土月餘</vt:lpstr>
      <vt:lpstr>土積合</vt:lpstr>
      <vt:lpstr>土積度</vt:lpstr>
      <vt:lpstr>土虛分</vt:lpstr>
      <vt:lpstr>大周</vt:lpstr>
      <vt:lpstr>大餘</vt:lpstr>
      <vt:lpstr>損益率</vt:lpstr>
      <vt:lpstr>日夜半積度</vt:lpstr>
      <vt:lpstr>日夜半積度餘分</vt:lpstr>
      <vt:lpstr>日法</vt:lpstr>
      <vt:lpstr>日餘</vt:lpstr>
      <vt:lpstr>月周</vt:lpstr>
      <vt:lpstr>月夜半積度</vt:lpstr>
      <vt:lpstr>月夜半積度餘分</vt:lpstr>
      <vt:lpstr>月數</vt:lpstr>
      <vt:lpstr>月行分</vt:lpstr>
      <vt:lpstr>木入月日</vt:lpstr>
      <vt:lpstr>木合積月</vt:lpstr>
      <vt:lpstr>木合終合數</vt:lpstr>
      <vt:lpstr>木周率</vt:lpstr>
      <vt:lpstr>木大餘</vt:lpstr>
      <vt:lpstr>木定積月</vt:lpstr>
      <vt:lpstr>木小餘</vt:lpstr>
      <vt:lpstr>木度餘</vt:lpstr>
      <vt:lpstr>木日度法</vt:lpstr>
      <vt:lpstr>木日率</vt:lpstr>
      <vt:lpstr>木日餘</vt:lpstr>
      <vt:lpstr>木月法</vt:lpstr>
      <vt:lpstr>木月餘</vt:lpstr>
      <vt:lpstr>木積合</vt:lpstr>
      <vt:lpstr>木積度</vt:lpstr>
      <vt:lpstr>木虛分</vt:lpstr>
      <vt:lpstr>歲數</vt:lpstr>
      <vt:lpstr>氣大餘</vt:lpstr>
      <vt:lpstr>氣小餘</vt:lpstr>
      <vt:lpstr>水入月日</vt:lpstr>
      <vt:lpstr>水合積月</vt:lpstr>
      <vt:lpstr>水合終合數</vt:lpstr>
      <vt:lpstr>水周率</vt:lpstr>
      <vt:lpstr>水大餘</vt:lpstr>
      <vt:lpstr>水定積月</vt:lpstr>
      <vt:lpstr>水小餘</vt:lpstr>
      <vt:lpstr>水度餘</vt:lpstr>
      <vt:lpstr>水日度法</vt:lpstr>
      <vt:lpstr>水日率</vt:lpstr>
      <vt:lpstr>水日餘</vt:lpstr>
      <vt:lpstr>水月法</vt:lpstr>
      <vt:lpstr>水月餘</vt:lpstr>
      <vt:lpstr>水朔小餘</vt:lpstr>
      <vt:lpstr>水積合</vt:lpstr>
      <vt:lpstr>水積度</vt:lpstr>
      <vt:lpstr>水虛分</vt:lpstr>
      <vt:lpstr>沒數</vt:lpstr>
      <vt:lpstr>沒法</vt:lpstr>
      <vt:lpstr>沒積</vt:lpstr>
      <vt:lpstr>沒餘</vt:lpstr>
      <vt:lpstr>火入月日</vt:lpstr>
      <vt:lpstr>火合積月</vt:lpstr>
      <vt:lpstr>火合終合數</vt:lpstr>
      <vt:lpstr>火周率</vt:lpstr>
      <vt:lpstr>火大餘</vt:lpstr>
      <vt:lpstr>火定積月</vt:lpstr>
      <vt:lpstr>火小餘</vt:lpstr>
      <vt:lpstr>火度餘</vt:lpstr>
      <vt:lpstr>火日度法</vt:lpstr>
      <vt:lpstr>火日率</vt:lpstr>
      <vt:lpstr>火日餘</vt:lpstr>
      <vt:lpstr>火月法</vt:lpstr>
      <vt:lpstr>火月餘</vt:lpstr>
      <vt:lpstr>火積合</vt:lpstr>
      <vt:lpstr>火積度</vt:lpstr>
      <vt:lpstr>火虛分</vt:lpstr>
      <vt:lpstr>盈縮積</vt:lpstr>
      <vt:lpstr>積度</vt:lpstr>
      <vt:lpstr>積度余分</vt:lpstr>
      <vt:lpstr>積日</vt:lpstr>
      <vt:lpstr>積日小餘</vt:lpstr>
      <vt:lpstr>積月</vt:lpstr>
      <vt:lpstr>積食</vt:lpstr>
      <vt:lpstr>章月</vt:lpstr>
      <vt:lpstr>章歲</vt:lpstr>
      <vt:lpstr>章法</vt:lpstr>
      <vt:lpstr>章閏</vt:lpstr>
      <vt:lpstr>章閏數</vt:lpstr>
      <vt:lpstr>紀月</vt:lpstr>
      <vt:lpstr>紀法</vt:lpstr>
      <vt:lpstr>蔀名</vt:lpstr>
      <vt:lpstr>蔀日</vt:lpstr>
      <vt:lpstr>蔀會</vt:lpstr>
      <vt:lpstr>蔀會名</vt:lpstr>
      <vt:lpstr>蔀月</vt:lpstr>
      <vt:lpstr>蔀法</vt:lpstr>
      <vt:lpstr>通周</vt:lpstr>
      <vt:lpstr>通法</vt:lpstr>
      <vt:lpstr>金入月日</vt:lpstr>
      <vt:lpstr>金合積月</vt:lpstr>
      <vt:lpstr>金合終合數</vt:lpstr>
      <vt:lpstr>金周率</vt:lpstr>
      <vt:lpstr>金大餘</vt:lpstr>
      <vt:lpstr>金定積月</vt:lpstr>
      <vt:lpstr>金小餘</vt:lpstr>
      <vt:lpstr>金度餘</vt:lpstr>
      <vt:lpstr>金日度法</vt:lpstr>
      <vt:lpstr>金日率</vt:lpstr>
      <vt:lpstr>金日餘</vt:lpstr>
      <vt:lpstr>金月法</vt:lpstr>
      <vt:lpstr>金月餘</vt:lpstr>
      <vt:lpstr>金朔小餘</vt:lpstr>
      <vt:lpstr>金積合</vt:lpstr>
      <vt:lpstr>金積度</vt:lpstr>
      <vt:lpstr>金虛分</vt:lpstr>
      <vt:lpstr>閏餘</vt:lpstr>
      <vt:lpstr>食數</vt:lpstr>
      <vt:lpstr>食法</vt:lpstr>
      <vt:lpstr>食積月</vt:lpstr>
      <vt:lpstr>食積月餘分</vt:lpstr>
      <vt:lpstr>食餘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Morgan</dc:creator>
  <cp:lastModifiedBy>Daniel Patrick Morgan</cp:lastModifiedBy>
  <cp:revision>215</cp:revision>
  <cp:lastPrinted>1601-01-01T00:00:00Z</cp:lastPrinted>
  <dcterms:created xsi:type="dcterms:W3CDTF">2011-08-05T02:06:10Z</dcterms:created>
  <dcterms:modified xsi:type="dcterms:W3CDTF">2018-03-19T23:39:26Z</dcterms:modified>
</cp:coreProperties>
</file>